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codeName="ThisWorkbook" defaultThemeVersion="124226"/>
  <mc:AlternateContent xmlns:mc="http://schemas.openxmlformats.org/markup-compatibility/2006">
    <mc:Choice Requires="x15">
      <x15ac:absPath xmlns:x15ac="http://schemas.microsoft.com/office/spreadsheetml/2010/11/ac" url="Y:\Mortgages\Sales\AIP Indicator\In progress\16022023\"/>
    </mc:Choice>
  </mc:AlternateContent>
  <xr:revisionPtr revIDLastSave="0" documentId="8_{6AB70411-C8ED-4A1A-9977-BD9E773220BA}" xr6:coauthVersionLast="36" xr6:coauthVersionMax="36" xr10:uidLastSave="{00000000-0000-0000-0000-000000000000}"/>
  <workbookProtection workbookAlgorithmName="SHA-512" workbookHashValue="K7r3CPMlFYpcT6H82m1EvVc1vxi1pd4jlAOkfGaSMQhM/jWphpyzSygClPJ6RjmvCfwdsEr3auUSsI/Wh+5+rA==" workbookSaltValue="1aEhsT5sZXsCPdOQgnhi9w==" workbookSpinCount="100000" lockStructure="1"/>
  <bookViews>
    <workbookView xWindow="0" yWindow="0" windowWidth="19200" windowHeight="8130" xr2:uid="{00000000-000D-0000-FFFF-FFFF00000000}"/>
  </bookViews>
  <sheets>
    <sheet name="AIP Indicator" sheetId="1" r:id="rId1"/>
    <sheet name="Input" sheetId="7" state="hidden" r:id="rId2"/>
    <sheet name="Metrics &amp; Drop Downs" sheetId="3" state="hidden" r:id="rId3"/>
    <sheet name="Calculations" sheetId="2" state="hidden" r:id="rId4"/>
    <sheet name="Output" sheetId="8" state="hidden" r:id="rId5"/>
    <sheet name="Fee Indicator (optional)" sheetId="4" state="hidden" r:id="rId6"/>
    <sheet name="Mortgage Certificate" sheetId="6" r:id="rId7"/>
  </sheets>
  <definedNames>
    <definedName name="_xlnm._FilterDatabase" localSheetId="2" hidden="1">'Metrics &amp; Drop Downs'!$F$3:$R$32</definedName>
    <definedName name="Amount_Requested">Input!$B$44</definedName>
    <definedName name="Available_Products">'Metrics &amp; Drop Downs'!$AG$3:$AG$30</definedName>
    <definedName name="BTL_Affordability">'Metrics &amp; Drop Downs'!$D$16</definedName>
    <definedName name="BTL_Affordability_Indicator">Calculations!$C$83</definedName>
    <definedName name="BTL_Min_Income">'Metrics &amp; Drop Downs'!$D$15</definedName>
    <definedName name="Buy_to_Let">Input!$B$39</definedName>
    <definedName name="C_and_I">Calculations!$I$11</definedName>
    <definedName name="Dependent_Children">Input!$B$51</definedName>
    <definedName name="Deposit">Input!$B$49</definedName>
    <definedName name="Direct">'AIP Indicator'!$G$1</definedName>
    <definedName name="DoB_App_1">Input!$B$12</definedName>
    <definedName name="DoB_App_2">Input!$E$12</definedName>
    <definedName name="Employment_Status">'Metrics &amp; Drop Downs'!$D$15:$D$16</definedName>
    <definedName name="Extra_Rent_Affordability">'Metrics &amp; Drop Downs'!$D$17</definedName>
    <definedName name="First_App_Age">Calculations!$C$74</definedName>
    <definedName name="Follow_On_Rate">'Metrics &amp; Drop Downs'!$G$49</definedName>
    <definedName name="General_Max_Loan">'Metrics &amp; Drop Downs'!$L$36</definedName>
    <definedName name="GHA_Min_Valuation">'Metrics &amp; Drop Downs'!$D$11</definedName>
    <definedName name="Gsy_Min_Valuation">'Metrics &amp; Drop Downs'!$D$12</definedName>
    <definedName name="Guernsey_Pension">'Metrics &amp; Drop Downs'!$B$46</definedName>
    <definedName name="Income">Calculations!$E$92</definedName>
    <definedName name="Interest_Only">'AIP Indicator'!$F$31</definedName>
    <definedName name="Island">Input!$B$3</definedName>
    <definedName name="Island_Names">'Metrics &amp; Drop Downs'!$H$86:$H$88</definedName>
    <definedName name="Jersey_Pension">'Metrics &amp; Drop Downs'!$B$47</definedName>
    <definedName name="Jsy_Min_Valuation">'Metrics &amp; Drop Downs'!$D$10</definedName>
    <definedName name="LTV">Calculations!$C$96</definedName>
    <definedName name="LTV_Affordability">'Metrics &amp; Drop Downs'!$B$50</definedName>
    <definedName name="Max_Age">'Metrics &amp; Drop Downs'!$D$41</definedName>
    <definedName name="Max_AIP_Available">Calculations!$B$31</definedName>
    <definedName name="Max_Joint_Age">'Metrics &amp; Drop Downs'!$D$40</definedName>
    <definedName name="Max_Monthly">Calculations!$F$18</definedName>
    <definedName name="Max_Retirement_Monthly">Calculations!$C$49</definedName>
    <definedName name="Max_Term">Calculations!$C$101</definedName>
    <definedName name="Min_Age">'Metrics &amp; Drop Downs'!$D$44</definedName>
    <definedName name="Mortgage_Type">Output!$B$13</definedName>
    <definedName name="Next_Generation_Max">'Metrics &amp; Drop Downs'!$L$35</definedName>
    <definedName name="Next_Generation_Max_Loan">'Metrics &amp; Drop Downs'!$L$35</definedName>
    <definedName name="Outgoings">Calculations!$C$94</definedName>
    <definedName name="Overall_Max_LTV">Calculations!$C$55</definedName>
    <definedName name="_xlnm.Print_Area" localSheetId="0">'AIP Indicator'!$A$1:$G$73</definedName>
    <definedName name="_xlnm.Print_Area" localSheetId="6">'Mortgage Certificate'!$A$1:$A$24</definedName>
    <definedName name="Product_Term">Calculations!$C$77</definedName>
    <definedName name="Product_Type">'Metrics &amp; Drop Downs'!$U$4:$U$33</definedName>
    <definedName name="Property_Value">Input!$B$37</definedName>
    <definedName name="Refer_Affordability_Perc">'Metrics &amp; Drop Downs'!$B$21</definedName>
    <definedName name="Refer_Age">'Metrics &amp; Drop Downs'!$D$42</definedName>
    <definedName name="Refer_Age_Self_Employed">'Metrics &amp; Drop Downs'!$D$43</definedName>
    <definedName name="Refer_LTV_Perc">'Metrics &amp; Drop Downs'!$B$22</definedName>
    <definedName name="Refer_Max">'Metrics &amp; Drop Downs'!$B$28</definedName>
    <definedName name="Refer_Min">'Metrics &amp; Drop Downs'!$B$27</definedName>
    <definedName name="Refer_Retirement_Monthly">Calculations!$B$50</definedName>
    <definedName name="Remortgage_Purchase">Input!$B$47</definedName>
    <definedName name="Rent_mth">Input!$B$40</definedName>
    <definedName name="Requested_Term">Input!$B$45</definedName>
    <definedName name="SE_App_1">Input!$B$13</definedName>
    <definedName name="SE_App_2">Input!$E$13</definedName>
    <definedName name="Second_App_Age">Calculations!$C$75</definedName>
    <definedName name="Selected_Product">Input!$B$42</definedName>
    <definedName name="Stress_C_and_I">Calculations!$C$8</definedName>
    <definedName name="Stress_Rate">Calculations!$C$3</definedName>
    <definedName name="Title">'Metrics &amp; Drop Downs'!$A$4:$A$7</definedName>
    <definedName name="Wage_Inflation">'Metrics &amp; Drop Downs'!$B$45</definedName>
    <definedName name="Yes_No_Switch">'Metrics &amp; Drop Downs'!$H$83:$H$84</definedName>
  </definedNames>
  <calcPr calcId="191029"/>
</workbook>
</file>

<file path=xl/calcChain.xml><?xml version="1.0" encoding="utf-8"?>
<calcChain xmlns="http://schemas.openxmlformats.org/spreadsheetml/2006/main">
  <c r="G49" i="3" l="1"/>
  <c r="H21" i="3" l="1"/>
  <c r="H9" i="3"/>
  <c r="G12" i="3"/>
  <c r="I12" i="3"/>
  <c r="I8" i="3"/>
  <c r="G20" i="3" l="1"/>
  <c r="H20" i="3"/>
  <c r="G21" i="3"/>
  <c r="G22" i="3"/>
  <c r="H22" i="3"/>
  <c r="H19" i="3"/>
  <c r="G19" i="3"/>
  <c r="G9" i="3" l="1"/>
  <c r="F12" i="3"/>
  <c r="H10" i="3"/>
  <c r="H11" i="3"/>
  <c r="H12" i="3"/>
  <c r="A62" i="2"/>
  <c r="B47" i="3"/>
  <c r="B46" i="3"/>
  <c r="D109" i="3"/>
  <c r="C109" i="3"/>
  <c r="B50" i="1"/>
  <c r="B113" i="3"/>
  <c r="A114" i="3" s="1"/>
  <c r="C114" i="3" s="1"/>
  <c r="B112" i="3"/>
  <c r="A113" i="3" s="1"/>
  <c r="C113" i="3" s="1"/>
  <c r="B109" i="3"/>
  <c r="A110" i="3" s="1"/>
  <c r="D110" i="3" s="1"/>
  <c r="B110" i="3"/>
  <c r="A111" i="3" s="1"/>
  <c r="C111" i="3" s="1"/>
  <c r="B111" i="3"/>
  <c r="A112" i="3" s="1"/>
  <c r="D112" i="3" s="1"/>
  <c r="T19" i="2"/>
  <c r="T32" i="2"/>
  <c r="P19" i="2"/>
  <c r="P32" i="2"/>
  <c r="L19" i="2"/>
  <c r="L32" i="2"/>
  <c r="H19" i="2"/>
  <c r="H32" i="2"/>
  <c r="C22" i="2"/>
  <c r="F67" i="3"/>
  <c r="F68" i="3"/>
  <c r="G68" i="3"/>
  <c r="G67" i="3"/>
  <c r="I74" i="3"/>
  <c r="I75" i="3"/>
  <c r="I77" i="3"/>
  <c r="I78" i="3"/>
  <c r="H76" i="3"/>
  <c r="I76" i="3" s="1"/>
  <c r="H77" i="3"/>
  <c r="H78" i="3"/>
  <c r="H75" i="3"/>
  <c r="H74" i="3"/>
  <c r="I64" i="3"/>
  <c r="I63" i="3"/>
  <c r="D22" i="2"/>
  <c r="D11" i="2"/>
  <c r="C11" i="2"/>
  <c r="C48" i="2"/>
  <c r="A54" i="3"/>
  <c r="A75" i="3"/>
  <c r="A68" i="3"/>
  <c r="A61" i="3"/>
  <c r="C29" i="2"/>
  <c r="G75" i="3"/>
  <c r="F75" i="3"/>
  <c r="E75" i="3"/>
  <c r="D75" i="3"/>
  <c r="C75" i="3"/>
  <c r="E68" i="3"/>
  <c r="D68" i="3"/>
  <c r="C68" i="3"/>
  <c r="H64" i="3"/>
  <c r="H63" i="3"/>
  <c r="H62" i="3"/>
  <c r="I62" i="3" s="1"/>
  <c r="F61" i="3"/>
  <c r="G61" i="3"/>
  <c r="E61" i="3"/>
  <c r="D61" i="3"/>
  <c r="C61" i="3"/>
  <c r="B61" i="3"/>
  <c r="C54" i="3"/>
  <c r="D54" i="3"/>
  <c r="E54" i="3"/>
  <c r="B54" i="3"/>
  <c r="F56" i="3"/>
  <c r="G56" i="3" s="1"/>
  <c r="G70" i="3" s="1"/>
  <c r="F57" i="3"/>
  <c r="F71" i="3" s="1"/>
  <c r="F55" i="3"/>
  <c r="G55" i="3" s="1"/>
  <c r="G69" i="3" s="1"/>
  <c r="F19" i="3"/>
  <c r="F9" i="3"/>
  <c r="I6" i="3"/>
  <c r="I7" i="3"/>
  <c r="F10" i="3"/>
  <c r="G10" i="3"/>
  <c r="I10" i="3"/>
  <c r="F11" i="3"/>
  <c r="G11" i="3"/>
  <c r="I11" i="3"/>
  <c r="I15" i="3"/>
  <c r="B78" i="3"/>
  <c r="A78" i="3"/>
  <c r="B77" i="3"/>
  <c r="A77" i="3"/>
  <c r="B76" i="3"/>
  <c r="B75" i="3" s="1"/>
  <c r="A76" i="3"/>
  <c r="C74" i="3"/>
  <c r="B74" i="3"/>
  <c r="B71" i="3"/>
  <c r="A71" i="3"/>
  <c r="B70" i="3"/>
  <c r="A70" i="3"/>
  <c r="B69" i="3"/>
  <c r="B68" i="3" s="1"/>
  <c r="A69" i="3"/>
  <c r="D67" i="3"/>
  <c r="C67" i="3"/>
  <c r="B67" i="3"/>
  <c r="A64" i="3"/>
  <c r="A63" i="3"/>
  <c r="A62" i="3"/>
  <c r="A57" i="3"/>
  <c r="A56" i="3"/>
  <c r="A55" i="3"/>
  <c r="E9" i="7"/>
  <c r="E86" i="3"/>
  <c r="E85" i="3"/>
  <c r="Q26" i="3"/>
  <c r="D35" i="3" s="1"/>
  <c r="D37" i="3" s="1"/>
  <c r="C19" i="4"/>
  <c r="C93" i="3"/>
  <c r="C94" i="3"/>
  <c r="C95" i="3"/>
  <c r="C96" i="3" s="1"/>
  <c r="C97" i="3" s="1"/>
  <c r="B32" i="3"/>
  <c r="B31" i="3"/>
  <c r="I22" i="3"/>
  <c r="F21" i="3"/>
  <c r="F20" i="3"/>
  <c r="G18" i="3"/>
  <c r="F18" i="3"/>
  <c r="G108" i="3"/>
  <c r="G107" i="3"/>
  <c r="B51" i="7"/>
  <c r="E29" i="2"/>
  <c r="B44" i="7"/>
  <c r="B17" i="4" s="1"/>
  <c r="B14" i="7"/>
  <c r="C87" i="2" s="1"/>
  <c r="B12" i="7"/>
  <c r="C72" i="2" s="1"/>
  <c r="E12" i="7"/>
  <c r="C73" i="2" s="1"/>
  <c r="C75" i="2" s="1"/>
  <c r="E14" i="7"/>
  <c r="D87" i="2" s="1"/>
  <c r="E11" i="7"/>
  <c r="B11" i="2" s="1"/>
  <c r="D29" i="2"/>
  <c r="B47" i="7"/>
  <c r="B13" i="8"/>
  <c r="A35" i="1" s="1"/>
  <c r="B39" i="7"/>
  <c r="S5" i="3" s="1"/>
  <c r="B3" i="7"/>
  <c r="C3" i="2" s="1"/>
  <c r="B15" i="7"/>
  <c r="C88" i="2" s="1"/>
  <c r="B16" i="7"/>
  <c r="C89" i="2" s="1"/>
  <c r="B17" i="7"/>
  <c r="C90" i="2" s="1"/>
  <c r="B18" i="7"/>
  <c r="C91" i="2" s="1"/>
  <c r="E15" i="7"/>
  <c r="D88" i="2" s="1"/>
  <c r="E16" i="7"/>
  <c r="D89" i="2" s="1"/>
  <c r="E17" i="7"/>
  <c r="D90" i="2" s="1"/>
  <c r="E18" i="7"/>
  <c r="D91" i="2" s="1"/>
  <c r="B22" i="7"/>
  <c r="B26" i="7"/>
  <c r="B30" i="7"/>
  <c r="B34" i="7"/>
  <c r="B40" i="7"/>
  <c r="B45" i="7"/>
  <c r="C111" i="2"/>
  <c r="B7" i="7"/>
  <c r="B29" i="2"/>
  <c r="F29" i="2" s="1"/>
  <c r="E88" i="3"/>
  <c r="E89" i="3"/>
  <c r="B87" i="3"/>
  <c r="B88" i="3"/>
  <c r="B89" i="3"/>
  <c r="B86" i="3"/>
  <c r="B35" i="7"/>
  <c r="B33" i="7"/>
  <c r="B32" i="7"/>
  <c r="B31" i="7"/>
  <c r="B29" i="7"/>
  <c r="B28" i="7"/>
  <c r="B27" i="7"/>
  <c r="B25" i="7"/>
  <c r="B24" i="7"/>
  <c r="B23" i="7"/>
  <c r="B20" i="7"/>
  <c r="B21" i="7"/>
  <c r="E10" i="7"/>
  <c r="E13" i="7"/>
  <c r="B11" i="7"/>
  <c r="B10" i="7"/>
  <c r="B13" i="7"/>
  <c r="B9" i="7"/>
  <c r="B6" i="7"/>
  <c r="B5" i="7"/>
  <c r="A18" i="6"/>
  <c r="A22" i="6"/>
  <c r="A57" i="1"/>
  <c r="A56" i="1"/>
  <c r="A55" i="1"/>
  <c r="B8" i="4"/>
  <c r="B5" i="4"/>
  <c r="E25" i="1"/>
  <c r="D25" i="1"/>
  <c r="B6" i="4" s="1"/>
  <c r="D14" i="1"/>
  <c r="E89" i="2"/>
  <c r="D13" i="1"/>
  <c r="E88" i="2"/>
  <c r="AD9" i="3"/>
  <c r="AC9" i="3"/>
  <c r="AE9" i="3"/>
  <c r="Z9" i="3"/>
  <c r="A64" i="2"/>
  <c r="X9" i="3"/>
  <c r="Y9" i="3"/>
  <c r="W9" i="3"/>
  <c r="T9" i="3"/>
  <c r="G57" i="3" l="1"/>
  <c r="G71" i="3" s="1"/>
  <c r="F70" i="3"/>
  <c r="F69" i="3"/>
  <c r="B9" i="4"/>
  <c r="B12" i="4" s="1"/>
  <c r="G46" i="3"/>
  <c r="C82" i="2"/>
  <c r="U25" i="3"/>
  <c r="Y25" i="3" s="1"/>
  <c r="U12" i="3"/>
  <c r="X12" i="3" s="1"/>
  <c r="C80" i="2"/>
  <c r="S17" i="3"/>
  <c r="D10" i="3"/>
  <c r="S28" i="3"/>
  <c r="U28" i="3"/>
  <c r="X28" i="3" s="1"/>
  <c r="I32" i="1"/>
  <c r="J29" i="1"/>
  <c r="S26" i="3"/>
  <c r="D40" i="3"/>
  <c r="S19" i="3"/>
  <c r="U29" i="3"/>
  <c r="Y29" i="3" s="1"/>
  <c r="S8" i="3"/>
  <c r="I33" i="1"/>
  <c r="S14" i="3"/>
  <c r="S4" i="3"/>
  <c r="S13" i="3"/>
  <c r="S11" i="3"/>
  <c r="S22" i="3"/>
  <c r="S7" i="3"/>
  <c r="S18" i="3"/>
  <c r="U10" i="3"/>
  <c r="X10" i="3" s="1"/>
  <c r="U30" i="3"/>
  <c r="W30" i="3" s="1"/>
  <c r="S16" i="3"/>
  <c r="S27" i="3"/>
  <c r="D43" i="3"/>
  <c r="S29" i="3"/>
  <c r="S25" i="3"/>
  <c r="S15" i="3"/>
  <c r="S9" i="3"/>
  <c r="S30" i="3"/>
  <c r="D12" i="3"/>
  <c r="S21" i="3"/>
  <c r="U7" i="3"/>
  <c r="Y7" i="3" s="1"/>
  <c r="U27" i="3"/>
  <c r="W27" i="3" s="1"/>
  <c r="S24" i="3"/>
  <c r="I29" i="1"/>
  <c r="S6" i="3"/>
  <c r="S12" i="3"/>
  <c r="S10" i="3"/>
  <c r="D11" i="3"/>
  <c r="S23" i="3"/>
  <c r="I31" i="1"/>
  <c r="S20" i="3"/>
  <c r="I35" i="1"/>
  <c r="B36" i="3"/>
  <c r="U13" i="3"/>
  <c r="V13" i="3" s="1"/>
  <c r="U26" i="3"/>
  <c r="V26" i="3" s="1"/>
  <c r="C53" i="2"/>
  <c r="B30" i="3"/>
  <c r="U23" i="3"/>
  <c r="W23" i="3" s="1"/>
  <c r="C54" i="2"/>
  <c r="G41" i="3"/>
  <c r="U16" i="3"/>
  <c r="X16" i="3" s="1"/>
  <c r="U17" i="3"/>
  <c r="W17" i="3" s="1"/>
  <c r="U14" i="3"/>
  <c r="Y14" i="3" s="1"/>
  <c r="U11" i="3"/>
  <c r="X11" i="3" s="1"/>
  <c r="G45" i="3"/>
  <c r="U20" i="3"/>
  <c r="X20" i="3" s="1"/>
  <c r="U21" i="3"/>
  <c r="X21" i="3" s="1"/>
  <c r="U18" i="3"/>
  <c r="Y18" i="3" s="1"/>
  <c r="U15" i="3"/>
  <c r="V15" i="3" s="1"/>
  <c r="A19" i="4"/>
  <c r="U4" i="3"/>
  <c r="U8" i="3"/>
  <c r="V8" i="3" s="1"/>
  <c r="U5" i="3"/>
  <c r="X5" i="3" s="1"/>
  <c r="U6" i="3"/>
  <c r="V6" i="3" s="1"/>
  <c r="U22" i="3"/>
  <c r="Y22" i="3" s="1"/>
  <c r="U19" i="3"/>
  <c r="Y19" i="3" s="1"/>
  <c r="D16" i="1"/>
  <c r="E91" i="2"/>
  <c r="U24" i="3"/>
  <c r="Y24" i="3" s="1"/>
  <c r="C112" i="3"/>
  <c r="C94" i="2"/>
  <c r="C110" i="3"/>
  <c r="B35" i="3"/>
  <c r="D114" i="3"/>
  <c r="E41" i="3" s="1"/>
  <c r="A31" i="1"/>
  <c r="D111" i="3"/>
  <c r="D113" i="3"/>
  <c r="I46" i="2"/>
  <c r="J47" i="2" s="1"/>
  <c r="B49" i="7"/>
  <c r="C34" i="2" s="1"/>
  <c r="B37" i="3"/>
  <c r="C42" i="3"/>
  <c r="D42" i="3" s="1"/>
  <c r="C74" i="2" s="1"/>
  <c r="F33" i="1" s="1"/>
  <c r="C41" i="3"/>
  <c r="D41" i="3" s="1"/>
  <c r="X25" i="3" l="1"/>
  <c r="T25" i="3"/>
  <c r="A59" i="2"/>
  <c r="V25" i="3"/>
  <c r="Y12" i="3"/>
  <c r="W25" i="3"/>
  <c r="V12" i="3"/>
  <c r="T28" i="3"/>
  <c r="W12" i="3"/>
  <c r="W29" i="3"/>
  <c r="X29" i="3"/>
  <c r="Y28" i="3"/>
  <c r="W28" i="3"/>
  <c r="V28" i="3"/>
  <c r="T29" i="3"/>
  <c r="V29" i="3"/>
  <c r="Y13" i="3"/>
  <c r="A60" i="2"/>
  <c r="C17" i="1"/>
  <c r="T27" i="3"/>
  <c r="X30" i="3"/>
  <c r="T30" i="3"/>
  <c r="V30" i="3"/>
  <c r="X27" i="3"/>
  <c r="W13" i="3"/>
  <c r="T13" i="3"/>
  <c r="V27" i="3"/>
  <c r="X13" i="3"/>
  <c r="Y30" i="3"/>
  <c r="Y27" i="3"/>
  <c r="Y10" i="3"/>
  <c r="X7" i="3"/>
  <c r="V7" i="3"/>
  <c r="W10" i="3"/>
  <c r="W7" i="3"/>
  <c r="C55" i="2"/>
  <c r="V10" i="3"/>
  <c r="X23" i="3"/>
  <c r="V23" i="3"/>
  <c r="X8" i="3"/>
  <c r="Y8" i="3"/>
  <c r="W26" i="3"/>
  <c r="Y26" i="3"/>
  <c r="Y23" i="3"/>
  <c r="B17" i="1"/>
  <c r="X18" i="3"/>
  <c r="X26" i="3"/>
  <c r="T23" i="3"/>
  <c r="C7" i="2"/>
  <c r="D8" i="2" s="1"/>
  <c r="Y16" i="3"/>
  <c r="Y21" i="3"/>
  <c r="V16" i="3"/>
  <c r="W21" i="3"/>
  <c r="V19" i="3"/>
  <c r="X19" i="3"/>
  <c r="Y11" i="3"/>
  <c r="W8" i="3"/>
  <c r="C77" i="2"/>
  <c r="C98" i="2" s="1"/>
  <c r="C92" i="2"/>
  <c r="V21" i="3"/>
  <c r="W19" i="3"/>
  <c r="D92" i="2"/>
  <c r="X17" i="3"/>
  <c r="W16" i="3"/>
  <c r="Y20" i="3"/>
  <c r="V18" i="3"/>
  <c r="V22" i="3"/>
  <c r="W18" i="3"/>
  <c r="T18" i="3"/>
  <c r="X22" i="3"/>
  <c r="W11" i="3"/>
  <c r="V11" i="3"/>
  <c r="W15" i="3"/>
  <c r="Y17" i="3"/>
  <c r="X15" i="3"/>
  <c r="W5" i="3"/>
  <c r="V5" i="3"/>
  <c r="Y15" i="3"/>
  <c r="Y5" i="3"/>
  <c r="V17" i="3"/>
  <c r="W22" i="3"/>
  <c r="Y6" i="3"/>
  <c r="E90" i="2"/>
  <c r="D15" i="1"/>
  <c r="W6" i="3"/>
  <c r="V14" i="3"/>
  <c r="X6" i="3"/>
  <c r="W14" i="3"/>
  <c r="X14" i="3"/>
  <c r="W20" i="3"/>
  <c r="V20" i="3"/>
  <c r="X4" i="3"/>
  <c r="V4" i="3"/>
  <c r="Y4" i="3"/>
  <c r="W4" i="3"/>
  <c r="T4" i="3"/>
  <c r="T5" i="3" s="1"/>
  <c r="E87" i="2"/>
  <c r="D12" i="1"/>
  <c r="W24" i="3"/>
  <c r="V24" i="3"/>
  <c r="X24" i="3"/>
  <c r="C36" i="2"/>
  <c r="C38" i="2"/>
  <c r="I47" i="2"/>
  <c r="F50" i="1" s="1"/>
  <c r="C35" i="2"/>
  <c r="C39" i="2"/>
  <c r="C37" i="2"/>
  <c r="B34" i="2"/>
  <c r="D34" i="2"/>
  <c r="C40" i="2"/>
  <c r="B43" i="2"/>
  <c r="B44" i="2"/>
  <c r="B45" i="2"/>
  <c r="D17" i="1" l="1"/>
  <c r="C99" i="2"/>
  <c r="I41" i="2" s="1"/>
  <c r="J42" i="2" s="1"/>
  <c r="I42" i="2" s="1"/>
  <c r="C97" i="2"/>
  <c r="F35" i="1" s="1"/>
  <c r="C8" i="2"/>
  <c r="A61" i="2" s="1"/>
  <c r="T6" i="3"/>
  <c r="E92" i="2"/>
  <c r="B13" i="2" s="1"/>
  <c r="B47" i="2"/>
  <c r="B46" i="2"/>
  <c r="I37" i="1" l="1"/>
  <c r="C100" i="2"/>
  <c r="I39" i="1"/>
  <c r="I45" i="2"/>
  <c r="M39" i="1" s="1"/>
  <c r="E15" i="2"/>
  <c r="B15" i="2"/>
  <c r="T7" i="3"/>
  <c r="B14" i="2"/>
  <c r="C12" i="2"/>
  <c r="E14" i="2"/>
  <c r="E12" i="2"/>
  <c r="C81" i="2"/>
  <c r="C83" i="2" s="1"/>
  <c r="D12" i="2"/>
  <c r="D15" i="2"/>
  <c r="C14" i="2"/>
  <c r="C13" i="2"/>
  <c r="D14" i="2"/>
  <c r="B12" i="2"/>
  <c r="E13" i="2"/>
  <c r="C15" i="2"/>
  <c r="D13" i="2"/>
  <c r="B48" i="2"/>
  <c r="B16" i="2" l="1"/>
  <c r="B18" i="2" s="1"/>
  <c r="AC17" i="2" s="1"/>
  <c r="E16" i="2"/>
  <c r="E17" i="2" s="1"/>
  <c r="E19" i="2" s="1"/>
  <c r="D16" i="2"/>
  <c r="D18" i="2" s="1"/>
  <c r="D20" i="2" s="1"/>
  <c r="C16" i="2"/>
  <c r="C18" i="2" s="1"/>
  <c r="Y36" i="2" s="1"/>
  <c r="Z36" i="2" s="1"/>
  <c r="Y35" i="2" s="1"/>
  <c r="Y34" i="2" s="1"/>
  <c r="Z34" i="2" s="1"/>
  <c r="T8" i="3"/>
  <c r="T11" i="3"/>
  <c r="E18" i="2" l="1"/>
  <c r="I30" i="2" s="1"/>
  <c r="J30" i="2" s="1"/>
  <c r="I29" i="2" s="1"/>
  <c r="I28" i="2" s="1"/>
  <c r="J28" i="2" s="1"/>
  <c r="B17" i="2"/>
  <c r="B19" i="2" s="1"/>
  <c r="B49" i="2"/>
  <c r="U17" i="2" s="1"/>
  <c r="E49" i="2"/>
  <c r="Y23" i="2"/>
  <c r="Z23" i="2" s="1"/>
  <c r="Y22" i="2" s="1"/>
  <c r="Y21" i="2" s="1"/>
  <c r="Z21" i="2" s="1"/>
  <c r="D17" i="2"/>
  <c r="D19" i="2" s="1"/>
  <c r="M23" i="2"/>
  <c r="C49" i="2"/>
  <c r="Q36" i="2" s="1"/>
  <c r="C17" i="2"/>
  <c r="C19" i="2" s="1"/>
  <c r="D49" i="2"/>
  <c r="U23" i="2" s="1"/>
  <c r="I36" i="2"/>
  <c r="J36" i="2" s="1"/>
  <c r="I35" i="2" s="1"/>
  <c r="I34" i="2" s="1"/>
  <c r="J34" i="2" s="1"/>
  <c r="AC23" i="2"/>
  <c r="AC36" i="2"/>
  <c r="AD36" i="2" s="1"/>
  <c r="AC35" i="2" s="1"/>
  <c r="AC34" i="2" s="1"/>
  <c r="AD34" i="2" s="1"/>
  <c r="C25" i="2" s="1"/>
  <c r="M36" i="2"/>
  <c r="I23" i="2"/>
  <c r="J23" i="2" s="1"/>
  <c r="I22" i="2" s="1"/>
  <c r="I21" i="2" s="1"/>
  <c r="J21" i="2" s="1"/>
  <c r="C20" i="2"/>
  <c r="T10" i="3"/>
  <c r="T12" i="3" s="1"/>
  <c r="Y17" i="2"/>
  <c r="Z17" i="2" s="1"/>
  <c r="Y16" i="2" s="1"/>
  <c r="Y15" i="2" s="1"/>
  <c r="Z15" i="2" s="1"/>
  <c r="I17" i="2"/>
  <c r="B20" i="2"/>
  <c r="T17" i="3"/>
  <c r="AC30" i="2" l="1"/>
  <c r="Q30" i="2"/>
  <c r="E20" i="2"/>
  <c r="B50" i="2"/>
  <c r="Y30" i="2"/>
  <c r="Z30" i="2" s="1"/>
  <c r="Y29" i="2" s="1"/>
  <c r="Y28" i="2" s="1"/>
  <c r="Z28" i="2" s="1"/>
  <c r="Q17" i="2"/>
  <c r="M30" i="2"/>
  <c r="N30" i="2" s="1"/>
  <c r="M29" i="2" s="1"/>
  <c r="M28" i="2" s="1"/>
  <c r="N28" i="2" s="1"/>
  <c r="E23" i="2" s="1"/>
  <c r="J31" i="1" s="1"/>
  <c r="U30" i="2"/>
  <c r="N23" i="2"/>
  <c r="M22" i="2" s="1"/>
  <c r="M21" i="2" s="1"/>
  <c r="N21" i="2" s="1"/>
  <c r="D23" i="2" s="1"/>
  <c r="J32" i="1" s="1"/>
  <c r="AD23" i="2"/>
  <c r="AC22" i="2" s="1"/>
  <c r="AC21" i="2" s="1"/>
  <c r="AD21" i="2" s="1"/>
  <c r="D25" i="2" s="1"/>
  <c r="U36" i="2"/>
  <c r="N36" i="2"/>
  <c r="M35" i="2" s="1"/>
  <c r="M34" i="2" s="1"/>
  <c r="N34" i="2" s="1"/>
  <c r="R36" i="2" s="1"/>
  <c r="Q35" i="2" s="1"/>
  <c r="Q34" i="2" s="1"/>
  <c r="R34" i="2" s="1"/>
  <c r="Q23" i="2"/>
  <c r="AD17" i="2"/>
  <c r="AC16" i="2" s="1"/>
  <c r="AC15" i="2" s="1"/>
  <c r="AD15" i="2" s="1"/>
  <c r="B25" i="2" s="1"/>
  <c r="J17" i="2"/>
  <c r="I16" i="2" s="1"/>
  <c r="I15" i="2" s="1"/>
  <c r="J15" i="2" s="1"/>
  <c r="M17" i="2"/>
  <c r="T14" i="3"/>
  <c r="AD30" i="2" l="1"/>
  <c r="AC29" i="2" s="1"/>
  <c r="AC28" i="2" s="1"/>
  <c r="AD28" i="2" s="1"/>
  <c r="E25" i="2" s="1"/>
  <c r="R30" i="2"/>
  <c r="Q29" i="2" s="1"/>
  <c r="Q28" i="2" s="1"/>
  <c r="R28" i="2" s="1"/>
  <c r="R17" i="2"/>
  <c r="Q16" i="2" s="1"/>
  <c r="Q15" i="2" s="1"/>
  <c r="R15" i="2" s="1"/>
  <c r="R23" i="2"/>
  <c r="Q22" i="2" s="1"/>
  <c r="Q21" i="2" s="1"/>
  <c r="R21" i="2" s="1"/>
  <c r="C23" i="2"/>
  <c r="J33" i="1" s="1"/>
  <c r="T15" i="3"/>
  <c r="T16" i="3" s="1"/>
  <c r="N17" i="2"/>
  <c r="M16" i="2" s="1"/>
  <c r="M15" i="2" s="1"/>
  <c r="N15" i="2" s="1"/>
  <c r="B23" i="2" s="1"/>
  <c r="J35" i="1" s="1"/>
  <c r="T20" i="3"/>
  <c r="V36" i="2"/>
  <c r="U35" i="2" s="1"/>
  <c r="U34" i="2" s="1"/>
  <c r="V34" i="2" s="1"/>
  <c r="C24" i="2" s="1"/>
  <c r="T19" i="3" l="1"/>
  <c r="T21" i="3" s="1"/>
  <c r="V30" i="2"/>
  <c r="U29" i="2" s="1"/>
  <c r="U28" i="2" s="1"/>
  <c r="V28" i="2" s="1"/>
  <c r="E24" i="2" s="1"/>
  <c r="L31" i="1" s="1"/>
  <c r="V17" i="2"/>
  <c r="U16" i="2" s="1"/>
  <c r="U15" i="2" s="1"/>
  <c r="V15" i="2" s="1"/>
  <c r="B24" i="2" s="1"/>
  <c r="B26" i="2" s="1"/>
  <c r="B33" i="2" s="1"/>
  <c r="V23" i="2"/>
  <c r="U22" i="2" s="1"/>
  <c r="U21" i="2" s="1"/>
  <c r="V21" i="2" s="1"/>
  <c r="D24" i="2" s="1"/>
  <c r="L32" i="1" s="1"/>
  <c r="C26" i="2"/>
  <c r="C33" i="2" s="1"/>
  <c r="L33" i="1"/>
  <c r="K33" i="1"/>
  <c r="L35" i="1" l="1"/>
  <c r="L29" i="1" s="1"/>
  <c r="M43" i="1"/>
  <c r="I41" i="1"/>
  <c r="I43" i="1"/>
  <c r="K35" i="1"/>
  <c r="M41" i="1"/>
  <c r="E26" i="2"/>
  <c r="K31" i="1"/>
  <c r="D26" i="2"/>
  <c r="C101" i="2" s="1"/>
  <c r="B9" i="8" s="1"/>
  <c r="K32" i="1"/>
  <c r="T22" i="3"/>
  <c r="K29" i="1" l="1"/>
  <c r="D33" i="2"/>
  <c r="A65" i="2"/>
  <c r="T24" i="3"/>
  <c r="D33" i="1"/>
  <c r="T26" i="3" l="1"/>
  <c r="AM6" i="3" s="1"/>
  <c r="I6" i="1" s="1"/>
  <c r="AM5" i="3" l="1"/>
  <c r="I5" i="1" s="1"/>
  <c r="AO5" i="3"/>
  <c r="AP4" i="3"/>
  <c r="AN4" i="3"/>
  <c r="J4" i="1" s="1"/>
  <c r="AO4" i="3"/>
  <c r="K4" i="1" s="1"/>
  <c r="AM4" i="3"/>
  <c r="AP5" i="3"/>
  <c r="AN5" i="3"/>
  <c r="J5" i="1" s="1"/>
  <c r="AO12" i="3"/>
  <c r="K12" i="1" s="1"/>
  <c r="AO14" i="3"/>
  <c r="K14" i="1" s="1"/>
  <c r="AN13" i="3"/>
  <c r="J13" i="1" s="1"/>
  <c r="AM12" i="3"/>
  <c r="I12" i="1" s="1"/>
  <c r="AO15" i="3"/>
  <c r="K15" i="1" s="1"/>
  <c r="AO16" i="3"/>
  <c r="K16" i="1" s="1"/>
  <c r="AO23" i="3"/>
  <c r="K25" i="1" s="1"/>
  <c r="AP22" i="3"/>
  <c r="AO20" i="3"/>
  <c r="K20" i="1" s="1"/>
  <c r="AN8" i="3"/>
  <c r="J8" i="1" s="1"/>
  <c r="AP28" i="3"/>
  <c r="AN24" i="3"/>
  <c r="J26" i="1" s="1"/>
  <c r="AM8" i="3"/>
  <c r="I8" i="1" s="1"/>
  <c r="AP27" i="3"/>
  <c r="AN9" i="3"/>
  <c r="J9" i="1" s="1"/>
  <c r="AO26" i="3"/>
  <c r="AM28" i="3"/>
  <c r="AO6" i="3"/>
  <c r="K6" i="1" s="1"/>
  <c r="AO30" i="3"/>
  <c r="AM23" i="3"/>
  <c r="I25" i="1" s="1"/>
  <c r="AO13" i="3"/>
  <c r="K13" i="1" s="1"/>
  <c r="AN10" i="3"/>
  <c r="J10" i="1" s="1"/>
  <c r="AM16" i="3"/>
  <c r="I16" i="1" s="1"/>
  <c r="AM7" i="3"/>
  <c r="I7" i="1" s="1"/>
  <c r="AM19" i="3"/>
  <c r="I19" i="1" s="1"/>
  <c r="AO10" i="3"/>
  <c r="K10" i="1" s="1"/>
  <c r="AN20" i="3"/>
  <c r="J20" i="1" s="1"/>
  <c r="AP19" i="3"/>
  <c r="AN27" i="3"/>
  <c r="AM13" i="3"/>
  <c r="I13" i="1" s="1"/>
  <c r="AN21" i="3"/>
  <c r="AO8" i="3"/>
  <c r="K8" i="1" s="1"/>
  <c r="AO25" i="3"/>
  <c r="AM10" i="3"/>
  <c r="I10" i="1" s="1"/>
  <c r="AN16" i="3"/>
  <c r="J16" i="1" s="1"/>
  <c r="AO29" i="3"/>
  <c r="AP24" i="3"/>
  <c r="AP21" i="3"/>
  <c r="AN14" i="3"/>
  <c r="J14" i="1" s="1"/>
  <c r="AP17" i="3"/>
  <c r="AM29" i="3"/>
  <c r="AP16" i="3"/>
  <c r="AP9" i="3"/>
  <c r="AP25" i="3"/>
  <c r="AM14" i="3"/>
  <c r="I14" i="1" s="1"/>
  <c r="AN15" i="3"/>
  <c r="J15" i="1" s="1"/>
  <c r="AN19" i="3"/>
  <c r="J19" i="1" s="1"/>
  <c r="AO21" i="3"/>
  <c r="K21" i="1" s="1"/>
  <c r="AP12" i="3"/>
  <c r="AP23" i="3"/>
  <c r="AP11" i="3"/>
  <c r="AO27" i="3"/>
  <c r="AM27" i="3"/>
  <c r="AO11" i="3"/>
  <c r="K11" i="1" s="1"/>
  <c r="AP10" i="3"/>
  <c r="AP18" i="3"/>
  <c r="AP20" i="3"/>
  <c r="AO9" i="3"/>
  <c r="K9" i="1" s="1"/>
  <c r="AN30" i="3"/>
  <c r="AO24" i="3"/>
  <c r="K26" i="1" s="1"/>
  <c r="AP29" i="3"/>
  <c r="AN11" i="3"/>
  <c r="J11" i="1" s="1"/>
  <c r="AP14" i="3"/>
  <c r="AN7" i="3"/>
  <c r="J7" i="1" s="1"/>
  <c r="AO19" i="3"/>
  <c r="K19" i="1" s="1"/>
  <c r="AM11" i="3"/>
  <c r="I11" i="1" s="1"/>
  <c r="AM9" i="3"/>
  <c r="I9" i="1" s="1"/>
  <c r="AN22" i="3"/>
  <c r="AM21" i="3"/>
  <c r="AP13" i="3"/>
  <c r="AO22" i="3"/>
  <c r="K22" i="1" s="1"/>
  <c r="AM24" i="3"/>
  <c r="I26" i="1" s="1"/>
  <c r="AM26" i="3"/>
  <c r="AM15" i="3"/>
  <c r="I15" i="1" s="1"/>
  <c r="AN12" i="3"/>
  <c r="J12" i="1" s="1"/>
  <c r="AP26" i="3"/>
  <c r="AN29" i="3"/>
  <c r="AN18" i="3"/>
  <c r="J18" i="1" s="1"/>
  <c r="AM30" i="3"/>
  <c r="AN6" i="3"/>
  <c r="J6" i="1" s="1"/>
  <c r="AP8" i="3"/>
  <c r="AO17" i="3"/>
  <c r="K17" i="1" s="1"/>
  <c r="AN28" i="3"/>
  <c r="AO7" i="3"/>
  <c r="K7" i="1" s="1"/>
  <c r="AN26" i="3"/>
  <c r="AP30" i="3"/>
  <c r="AN25" i="3"/>
  <c r="AN23" i="3"/>
  <c r="J25" i="1" s="1"/>
  <c r="AO28" i="3"/>
  <c r="AP15" i="3"/>
  <c r="AN17" i="3"/>
  <c r="J17" i="1" s="1"/>
  <c r="AM17" i="3"/>
  <c r="I17" i="1" s="1"/>
  <c r="AM20" i="3"/>
  <c r="I20" i="1" s="1"/>
  <c r="AM22" i="3"/>
  <c r="AO18" i="3"/>
  <c r="K18" i="1" s="1"/>
  <c r="AP7" i="3"/>
  <c r="AM25" i="3"/>
  <c r="AM18" i="3"/>
  <c r="I18" i="1" s="1"/>
  <c r="AP6" i="3"/>
  <c r="J23" i="1" l="1"/>
  <c r="J21" i="1"/>
  <c r="I24" i="1"/>
  <c r="I22" i="1"/>
  <c r="J24" i="1"/>
  <c r="J22" i="1"/>
  <c r="I23" i="1"/>
  <c r="I21" i="1"/>
  <c r="K5" i="1"/>
  <c r="I4" i="1"/>
  <c r="D28" i="2" l="1"/>
  <c r="C27" i="2"/>
  <c r="C28" i="2"/>
  <c r="E27" i="2"/>
  <c r="E30" i="2" s="1"/>
  <c r="D27" i="2"/>
  <c r="D30" i="2" l="1"/>
  <c r="C30" i="2"/>
  <c r="B28" i="2"/>
  <c r="B30" i="2" l="1"/>
  <c r="B31" i="2" l="1"/>
  <c r="F27" i="2" l="1"/>
  <c r="B35" i="1"/>
  <c r="B4" i="8"/>
  <c r="B39" i="1"/>
  <c r="D32" i="1" l="1"/>
  <c r="B37" i="7"/>
  <c r="D36" i="2" l="1"/>
  <c r="F19" i="2"/>
  <c r="D40" i="2"/>
  <c r="C96" i="2"/>
  <c r="B15" i="4"/>
  <c r="B16" i="4" s="1"/>
  <c r="C110" i="2"/>
  <c r="C112" i="2"/>
  <c r="D35" i="2"/>
  <c r="D37" i="2"/>
  <c r="D39" i="2"/>
  <c r="D38" i="2"/>
  <c r="F18" i="2"/>
  <c r="F20" i="2" s="1"/>
  <c r="F49" i="2"/>
  <c r="C113" i="2" l="1"/>
  <c r="B19" i="4" s="1"/>
  <c r="AA10" i="3"/>
  <c r="AA8" i="3"/>
  <c r="AA6" i="3"/>
  <c r="AA18" i="3"/>
  <c r="AA20" i="3"/>
  <c r="AA26" i="3"/>
  <c r="AA12" i="3"/>
  <c r="AA29" i="3"/>
  <c r="AA25" i="3"/>
  <c r="AA30" i="3"/>
  <c r="AA31" i="3"/>
  <c r="AA17" i="3"/>
  <c r="AA24" i="3"/>
  <c r="AA13" i="3"/>
  <c r="AA14" i="3"/>
  <c r="AA7" i="3"/>
  <c r="AA11" i="3"/>
  <c r="A58" i="2"/>
  <c r="AA4" i="3"/>
  <c r="AA27" i="3"/>
  <c r="AA23" i="3"/>
  <c r="AA21" i="3"/>
  <c r="AA19" i="3"/>
  <c r="AA5" i="3"/>
  <c r="AA15" i="3"/>
  <c r="AA16" i="3"/>
  <c r="AA28" i="3"/>
  <c r="AA22" i="3"/>
  <c r="A63" i="2"/>
  <c r="I6" i="2"/>
  <c r="J6" i="2" s="1"/>
  <c r="I5" i="2" s="1"/>
  <c r="I4" i="2" s="1"/>
  <c r="J4" i="2" s="1"/>
  <c r="F23" i="2" s="1"/>
  <c r="F26" i="2" s="1"/>
  <c r="F30" i="2" s="1"/>
  <c r="B5" i="8" s="1"/>
  <c r="M6" i="2"/>
  <c r="N6" i="2" s="1"/>
  <c r="M5" i="2" s="1"/>
  <c r="M4" i="2" s="1"/>
  <c r="N4" i="2" s="1"/>
  <c r="F24" i="2" s="1"/>
  <c r="AD30" i="3" l="1"/>
  <c r="AE30" i="3"/>
  <c r="AC30" i="3"/>
  <c r="AB30" i="3"/>
  <c r="Z30" i="3"/>
  <c r="AC19" i="3"/>
  <c r="AB19" i="3"/>
  <c r="AD19" i="3"/>
  <c r="Z19" i="3"/>
  <c r="AE19" i="3"/>
  <c r="AC27" i="3"/>
  <c r="Z27" i="3"/>
  <c r="AB27" i="3"/>
  <c r="AD27" i="3"/>
  <c r="AE27" i="3"/>
  <c r="AC17" i="3"/>
  <c r="Z17" i="3"/>
  <c r="AD17" i="3"/>
  <c r="AE17" i="3"/>
  <c r="AB17" i="3"/>
  <c r="AB12" i="3"/>
  <c r="AC12" i="3"/>
  <c r="AE12" i="3"/>
  <c r="Z12" i="3"/>
  <c r="AD12" i="3"/>
  <c r="Z26" i="3"/>
  <c r="AE26" i="3"/>
  <c r="AD26" i="3"/>
  <c r="AC26" i="3"/>
  <c r="AB26" i="3"/>
  <c r="AE21" i="3"/>
  <c r="AB21" i="3"/>
  <c r="AC21" i="3"/>
  <c r="AD21" i="3"/>
  <c r="Z21" i="3"/>
  <c r="AB29" i="3"/>
  <c r="AC29" i="3"/>
  <c r="Z29" i="3"/>
  <c r="AE29" i="3"/>
  <c r="AD29" i="3"/>
  <c r="AE20" i="3"/>
  <c r="AB20" i="3"/>
  <c r="AD20" i="3"/>
  <c r="AC20" i="3"/>
  <c r="Z20" i="3"/>
  <c r="AB31" i="3"/>
  <c r="AC31" i="3"/>
  <c r="Z31" i="3"/>
  <c r="AD31" i="3"/>
  <c r="AE31" i="3"/>
  <c r="AD25" i="3"/>
  <c r="Z25" i="3"/>
  <c r="AC25" i="3"/>
  <c r="AB25" i="3"/>
  <c r="AE25" i="3"/>
  <c r="AD7" i="3"/>
  <c r="AE7" i="3"/>
  <c r="AC7" i="3"/>
  <c r="AB7" i="3"/>
  <c r="Z7" i="3"/>
  <c r="Z24" i="3" s="1"/>
  <c r="AC18" i="3"/>
  <c r="AE18" i="3"/>
  <c r="AD18" i="3"/>
  <c r="AB18" i="3"/>
  <c r="Z18" i="3"/>
  <c r="AD11" i="3"/>
  <c r="AB11" i="3"/>
  <c r="AE11" i="3"/>
  <c r="Z11" i="3"/>
  <c r="AC11" i="3"/>
  <c r="AB14" i="3"/>
  <c r="AE14" i="3"/>
  <c r="AD14" i="3"/>
  <c r="AC14" i="3"/>
  <c r="AD6" i="3"/>
  <c r="Z6" i="3"/>
  <c r="AB6" i="3"/>
  <c r="AC6" i="3"/>
  <c r="AE6" i="3"/>
  <c r="A67" i="2"/>
  <c r="A66" i="2"/>
  <c r="A68" i="2" s="1"/>
  <c r="AC22" i="3"/>
  <c r="Z22" i="3"/>
  <c r="AD22" i="3"/>
  <c r="AE22" i="3"/>
  <c r="AB22" i="3"/>
  <c r="AC13" i="3"/>
  <c r="AE13" i="3"/>
  <c r="Z13" i="3"/>
  <c r="AD13" i="3"/>
  <c r="AB13" i="3"/>
  <c r="Z8" i="3"/>
  <c r="AB8" i="3"/>
  <c r="AE8" i="3"/>
  <c r="AC8" i="3"/>
  <c r="AD8" i="3"/>
  <c r="AB5" i="3"/>
  <c r="AD5" i="3"/>
  <c r="AE5" i="3"/>
  <c r="Z5" i="3"/>
  <c r="Z14" i="3" s="1"/>
  <c r="AC5" i="3"/>
  <c r="AD23" i="3"/>
  <c r="AB23" i="3"/>
  <c r="AE23" i="3"/>
  <c r="AC23" i="3"/>
  <c r="Z23" i="3"/>
  <c r="AC28" i="3"/>
  <c r="AE28" i="3"/>
  <c r="Z28" i="3"/>
  <c r="AD28" i="3"/>
  <c r="AB28" i="3"/>
  <c r="AC16" i="3"/>
  <c r="AB16" i="3"/>
  <c r="AE16" i="3"/>
  <c r="AD16" i="3"/>
  <c r="Z16" i="3"/>
  <c r="Z15" i="3"/>
  <c r="AD15" i="3"/>
  <c r="AC15" i="3"/>
  <c r="AE15" i="3"/>
  <c r="AB15" i="3"/>
  <c r="AE24" i="3"/>
  <c r="AB24" i="3"/>
  <c r="AD24" i="3"/>
  <c r="AC24" i="3"/>
  <c r="AD10" i="3"/>
  <c r="AE10" i="3"/>
  <c r="Z10" i="3"/>
  <c r="AC10" i="3"/>
  <c r="AB10" i="3"/>
  <c r="AJ18" i="3" l="1"/>
  <c r="AH12" i="3"/>
  <c r="AH10" i="3"/>
  <c r="AG24" i="3"/>
  <c r="AL24" i="3" s="1"/>
  <c r="AJ15" i="3"/>
  <c r="AG8" i="3"/>
  <c r="AL8" i="3" s="1"/>
  <c r="AJ29" i="3"/>
  <c r="AI22" i="3"/>
  <c r="AJ26" i="3"/>
  <c r="AI20" i="3"/>
  <c r="AI7" i="3"/>
  <c r="AJ14" i="3"/>
  <c r="AG6" i="3"/>
  <c r="AL6" i="3" s="1"/>
  <c r="AI6" i="3"/>
  <c r="AI30" i="3"/>
  <c r="AI5" i="3"/>
  <c r="AI23" i="3"/>
  <c r="AH11" i="3"/>
  <c r="AG19" i="3"/>
  <c r="AL19" i="3" s="1"/>
  <c r="AJ11" i="3"/>
  <c r="AI19" i="3"/>
  <c r="AG25" i="3"/>
  <c r="AL25" i="3" s="1"/>
  <c r="AH15" i="3"/>
  <c r="AG10" i="3"/>
  <c r="AL10" i="3" s="1"/>
  <c r="AG7" i="3"/>
  <c r="AL7" i="3" s="1"/>
  <c r="AH18" i="3"/>
  <c r="AJ8" i="3"/>
  <c r="AJ9" i="3"/>
  <c r="AI17" i="3"/>
  <c r="AG28" i="3"/>
  <c r="AL28" i="3" s="1"/>
  <c r="AH27" i="3"/>
  <c r="AG4" i="3"/>
  <c r="AH20" i="3"/>
  <c r="AI18" i="3"/>
  <c r="AG14" i="3"/>
  <c r="AL14" i="3" s="1"/>
  <c r="AG5" i="3"/>
  <c r="AL5" i="3" s="1"/>
  <c r="AH5" i="3"/>
  <c r="M10" i="2" s="1"/>
  <c r="N11" i="2" s="1"/>
  <c r="M11" i="2" s="1"/>
  <c r="AK5" i="3" s="1"/>
  <c r="AG13" i="3"/>
  <c r="AL13" i="3" s="1"/>
  <c r="AI16" i="3"/>
  <c r="AJ20" i="3"/>
  <c r="AH23" i="3"/>
  <c r="AG17" i="3"/>
  <c r="AL17" i="3" s="1"/>
  <c r="AH16" i="3"/>
  <c r="AJ23" i="3"/>
  <c r="AJ30" i="3"/>
  <c r="AI28" i="3"/>
  <c r="AI8" i="3"/>
  <c r="AI13" i="3"/>
  <c r="AG21" i="3"/>
  <c r="AL21" i="3" s="1"/>
  <c r="AG23" i="3"/>
  <c r="AL23" i="3" s="1"/>
  <c r="AI10" i="3"/>
  <c r="AI12" i="3"/>
  <c r="AJ6" i="3"/>
  <c r="AI14" i="3"/>
  <c r="AH19" i="3"/>
  <c r="AI26" i="3"/>
  <c r="AI29" i="3"/>
  <c r="AH25" i="3"/>
  <c r="AH24" i="3"/>
  <c r="AH6" i="3"/>
  <c r="Q10" i="2" s="1"/>
  <c r="R11" i="2" s="1"/>
  <c r="Q11" i="2" s="1"/>
  <c r="AK6" i="3" s="1"/>
  <c r="AI4" i="3"/>
  <c r="AG27" i="3"/>
  <c r="AL27" i="3" s="1"/>
  <c r="AH30" i="3"/>
  <c r="AH4" i="3"/>
  <c r="I10" i="2" s="1"/>
  <c r="J11" i="2" s="1"/>
  <c r="I11" i="2" s="1"/>
  <c r="AJ12" i="3"/>
  <c r="AJ22" i="3"/>
  <c r="AJ16" i="3"/>
  <c r="AG20" i="3"/>
  <c r="AL20" i="3" s="1"/>
  <c r="AJ19" i="3"/>
  <c r="AH7" i="3"/>
  <c r="U10" i="2" s="1"/>
  <c r="V11" i="2" s="1"/>
  <c r="U11" i="2" s="1"/>
  <c r="AK7" i="3" s="1"/>
  <c r="AJ17" i="3"/>
  <c r="AJ27" i="3"/>
  <c r="AJ25" i="3"/>
  <c r="AG26" i="3"/>
  <c r="AL26" i="3" s="1"/>
  <c r="AH17" i="3"/>
  <c r="AH22" i="3"/>
  <c r="AH29" i="3"/>
  <c r="AJ4" i="3"/>
  <c r="AI21" i="3"/>
  <c r="AH21" i="3"/>
  <c r="AH13" i="3"/>
  <c r="AJ7" i="3"/>
  <c r="AG29" i="3"/>
  <c r="AL29" i="3" s="1"/>
  <c r="AI24" i="3"/>
  <c r="AH28" i="3"/>
  <c r="AH8" i="3"/>
  <c r="Y10" i="2" s="1"/>
  <c r="Z11" i="2" s="1"/>
  <c r="Y11" i="2" s="1"/>
  <c r="AK8" i="3" s="1"/>
  <c r="AG12" i="3"/>
  <c r="AL12" i="3" s="1"/>
  <c r="AG15" i="3"/>
  <c r="AL15" i="3" s="1"/>
  <c r="AH14" i="3"/>
  <c r="AH9" i="3"/>
  <c r="AC10" i="2" s="1"/>
  <c r="AD11" i="2" s="1"/>
  <c r="AC11" i="2" s="1"/>
  <c r="AK9" i="3" s="1"/>
  <c r="AG9" i="3"/>
  <c r="AL9" i="3" s="1"/>
  <c r="AJ13" i="3"/>
  <c r="AG11" i="3"/>
  <c r="AL11" i="3" s="1"/>
  <c r="AI11" i="3"/>
  <c r="AG22" i="3"/>
  <c r="AL22" i="3" s="1"/>
  <c r="AI27" i="3"/>
  <c r="AJ5" i="3"/>
  <c r="AG30" i="3"/>
  <c r="AL30" i="3" s="1"/>
  <c r="AI25" i="3"/>
  <c r="AH26" i="3"/>
  <c r="AJ28" i="3"/>
  <c r="AG18" i="3"/>
  <c r="AL18" i="3" s="1"/>
  <c r="AI9" i="3"/>
  <c r="AI15" i="3"/>
  <c r="AJ10" i="3"/>
  <c r="AJ24" i="3"/>
  <c r="AG16" i="3"/>
  <c r="AL16" i="3" s="1"/>
  <c r="AJ21" i="3"/>
  <c r="C69" i="2"/>
  <c r="A69" i="2"/>
  <c r="AL4" i="3" l="1"/>
  <c r="B7" i="8"/>
  <c r="AK4" i="3"/>
  <c r="B2" i="8"/>
  <c r="B37" i="1"/>
  <c r="G32" i="3" l="1"/>
  <c r="B11" i="8" s="1"/>
  <c r="A45" i="1"/>
  <c r="A47" i="1"/>
  <c r="A43" i="1"/>
  <c r="A46" i="1"/>
  <c r="A48" i="1"/>
  <c r="A44" i="1"/>
  <c r="C37" i="1"/>
  <c r="D37" i="1"/>
  <c r="A14" i="6"/>
  <c r="D48" i="1" l="1"/>
  <c r="C48" i="1"/>
  <c r="B48" i="1"/>
  <c r="E48" i="1"/>
  <c r="B47" i="1"/>
  <c r="D47" i="1"/>
  <c r="C47" i="1"/>
  <c r="E47" i="1"/>
  <c r="C44" i="1"/>
  <c r="B44" i="1"/>
  <c r="E44" i="1"/>
  <c r="D44" i="1"/>
  <c r="C46" i="1"/>
  <c r="E46" i="1"/>
  <c r="D46" i="1"/>
  <c r="B46" i="1"/>
  <c r="D43" i="1"/>
  <c r="B43" i="1"/>
  <c r="E43" i="1"/>
  <c r="C43" i="1"/>
  <c r="B45" i="1"/>
  <c r="E45" i="1"/>
  <c r="C45" i="1"/>
  <c r="D45" i="1"/>
  <c r="B18" i="4" l="1"/>
  <c r="B20" i="4" s="1"/>
  <c r="B13" i="4" s="1"/>
</calcChain>
</file>

<file path=xl/sharedStrings.xml><?xml version="1.0" encoding="utf-8"?>
<sst xmlns="http://schemas.openxmlformats.org/spreadsheetml/2006/main" count="687" uniqueCount="340">
  <si>
    <t>Prepared by:</t>
  </si>
  <si>
    <t>Broker Name:</t>
  </si>
  <si>
    <t>Second Applicant</t>
  </si>
  <si>
    <t>First Applicant</t>
  </si>
  <si>
    <t>Mr</t>
  </si>
  <si>
    <t>Mrs</t>
  </si>
  <si>
    <t>Miss</t>
  </si>
  <si>
    <t>Title</t>
  </si>
  <si>
    <t>Dr</t>
  </si>
  <si>
    <t>Forename</t>
  </si>
  <si>
    <t>Surname</t>
  </si>
  <si>
    <t>Annual Salary</t>
  </si>
  <si>
    <t>Regular Bonus pa</t>
  </si>
  <si>
    <t>Overtime pa</t>
  </si>
  <si>
    <t>Allowed Income</t>
  </si>
  <si>
    <t>Income</t>
  </si>
  <si>
    <t>Salary</t>
  </si>
  <si>
    <t>Applicants:</t>
  </si>
  <si>
    <t>Income Details:</t>
  </si>
  <si>
    <t>LTV</t>
  </si>
  <si>
    <t>Mortgage Type</t>
  </si>
  <si>
    <t>Amount Requested</t>
  </si>
  <si>
    <t>Product</t>
  </si>
  <si>
    <t>Rate</t>
  </si>
  <si>
    <t>Stress Rate</t>
  </si>
  <si>
    <t>Requested Term/years</t>
  </si>
  <si>
    <t>Interest Rate</t>
  </si>
  <si>
    <t>Max LTV</t>
  </si>
  <si>
    <t>Guernsey Joint</t>
  </si>
  <si>
    <t>Jersey</t>
  </si>
  <si>
    <t xml:space="preserve">Guernsey Sole </t>
  </si>
  <si>
    <t>Jersey Sole</t>
  </si>
  <si>
    <t>Sole or Joint Appication</t>
  </si>
  <si>
    <t>Guernsey Sole Affordability Percentage</t>
  </si>
  <si>
    <t>Guernsey Joint Affordability Percentage</t>
  </si>
  <si>
    <t>Jersey Sole Affordability Percentage</t>
  </si>
  <si>
    <t>Jersey Joint Affordability Percentage</t>
  </si>
  <si>
    <t>Jersey Joint</t>
  </si>
  <si>
    <t>LTV Affordability Metric</t>
  </si>
  <si>
    <t>Applicable Max Affordability</t>
  </si>
  <si>
    <t xml:space="preserve">Max Monthly </t>
  </si>
  <si>
    <t>Afforability Metric</t>
  </si>
  <si>
    <t>Min Loan</t>
  </si>
  <si>
    <t>Referal Metrics</t>
  </si>
  <si>
    <t xml:space="preserve">Affordability </t>
  </si>
  <si>
    <t>Max Loan</t>
  </si>
  <si>
    <t>Approval Checks</t>
  </si>
  <si>
    <t>Affordability</t>
  </si>
  <si>
    <t>Referal Max Affordability</t>
  </si>
  <si>
    <t>Refer Monthly</t>
  </si>
  <si>
    <t>Decline Occurances</t>
  </si>
  <si>
    <t>Refer Occurances</t>
  </si>
  <si>
    <t>Max Loan Calculator</t>
  </si>
  <si>
    <t>By LTV</t>
  </si>
  <si>
    <t>By Affordability</t>
  </si>
  <si>
    <t>By Product Type</t>
  </si>
  <si>
    <t>Max Loan Available</t>
  </si>
  <si>
    <t>Max AIP Available</t>
  </si>
  <si>
    <t>AIP</t>
  </si>
  <si>
    <t>Refer</t>
  </si>
  <si>
    <t>Balance</t>
  </si>
  <si>
    <t>Max Referal</t>
  </si>
  <si>
    <t>Max AIP</t>
  </si>
  <si>
    <t>Max AIP C&amp;I Calculator</t>
  </si>
  <si>
    <t>Max Referal C&amp;I Calculator</t>
  </si>
  <si>
    <t>Term and age of applicants</t>
  </si>
  <si>
    <t>C&amp;I Calculation not complete</t>
  </si>
  <si>
    <t>Max Term</t>
  </si>
  <si>
    <t>LTV Analysis</t>
  </si>
  <si>
    <t>Product LTV</t>
  </si>
  <si>
    <t>Max Lending LTV</t>
  </si>
  <si>
    <t>Overall Max LTV</t>
  </si>
  <si>
    <t>Other Liabilities &amp; Commitments (e.g. Loans left outstanding , Child Maintenance, School Fees):</t>
  </si>
  <si>
    <t>Description</t>
  </si>
  <si>
    <t>Monthly Repayments</t>
  </si>
  <si>
    <t>Expiry</t>
  </si>
  <si>
    <t>Total</t>
  </si>
  <si>
    <t>Stressed C&amp;I</t>
  </si>
  <si>
    <t>Car Allowance</t>
  </si>
  <si>
    <t>Other Allowed Income</t>
  </si>
  <si>
    <t>AIP Indicator:</t>
  </si>
  <si>
    <t>1st Applicant</t>
  </si>
  <si>
    <t>2nd Applicant</t>
  </si>
  <si>
    <t>Other loans etc</t>
  </si>
  <si>
    <t>Deposit required</t>
  </si>
  <si>
    <t>Deposit</t>
  </si>
  <si>
    <t>New Mortgage</t>
  </si>
  <si>
    <t>Early Repayment Charges</t>
  </si>
  <si>
    <t>Additional Information</t>
  </si>
  <si>
    <t>New House Purchase</t>
  </si>
  <si>
    <t>Current Property Sale Price</t>
  </si>
  <si>
    <t>Current Mortgage balance</t>
  </si>
  <si>
    <t>Equity in current Property</t>
  </si>
  <si>
    <t>Estate Agency Fees</t>
  </si>
  <si>
    <t>Net equity in current property</t>
  </si>
  <si>
    <t>Value of any gifted money</t>
  </si>
  <si>
    <t>Available Savings</t>
  </si>
  <si>
    <t>Total funds available</t>
  </si>
  <si>
    <t>Required Funds</t>
  </si>
  <si>
    <t>Available in</t>
  </si>
  <si>
    <t>Gsy</t>
  </si>
  <si>
    <t>Jsy</t>
  </si>
  <si>
    <t>Yes</t>
  </si>
  <si>
    <t>No</t>
  </si>
  <si>
    <t>Product Fee</t>
  </si>
  <si>
    <t>Product List</t>
  </si>
  <si>
    <t>Guernsey</t>
  </si>
  <si>
    <t>Skipton International Limited - Fee &amp; Deposit Indicator</t>
  </si>
  <si>
    <t>Wage Inflation</t>
  </si>
  <si>
    <t>Guernsey Pension</t>
  </si>
  <si>
    <t>Jersey Pension</t>
  </si>
  <si>
    <t>Retirement Calculator</t>
  </si>
  <si>
    <t>Mortgage into Retirement?</t>
  </si>
  <si>
    <t>Mortgage into part Retirement?</t>
  </si>
  <si>
    <t>Years to part Retirement</t>
  </si>
  <si>
    <t>Inflated Wage</t>
  </si>
  <si>
    <t>Inflated Pension</t>
  </si>
  <si>
    <t>Inflated Joint Income</t>
  </si>
  <si>
    <t>Max Retirement Monthly</t>
  </si>
  <si>
    <t>Refer Retirement Monthly</t>
  </si>
  <si>
    <t>By Affordability Post Retirement</t>
  </si>
  <si>
    <t>Max Post Retirement AIP C&amp;I Calculator</t>
  </si>
  <si>
    <t>Max Post Retirement Referal C&amp;I Calculator</t>
  </si>
  <si>
    <t>Max affordability</t>
  </si>
  <si>
    <t>Max Referal Age</t>
  </si>
  <si>
    <t>Max Joint Age</t>
  </si>
  <si>
    <t>Applicant Age for Calculatons (factoring Self Employment)</t>
  </si>
  <si>
    <t>Applicant 1</t>
  </si>
  <si>
    <t>Applicant 2</t>
  </si>
  <si>
    <t>Refer Age Employed</t>
  </si>
  <si>
    <t>Refer Age Self Employed</t>
  </si>
  <si>
    <t>Product Term</t>
  </si>
  <si>
    <t>Supporting Documentation</t>
  </si>
  <si>
    <t>ü</t>
  </si>
  <si>
    <t>N/A</t>
  </si>
  <si>
    <t>latest 2 calendar years’ signed finalised accounts/financial statements (if self-employed or Ltd company)</t>
  </si>
  <si>
    <t>mortgage statement (where a mortgage has been held in the last 12 months)
• latest calendar 12 month period</t>
  </si>
  <si>
    <t>Copy of Environmental Department consent</t>
  </si>
  <si>
    <t>Notes</t>
  </si>
  <si>
    <t>3 months salary slips (if employed)</t>
  </si>
  <si>
    <t>Bank statements for main current account(s) showing transaction for income (e.g. salary) and expediture (mortgage, rent)
• latest calendar 3 full months 
• showing debits, credit and running balances
•  any reversals, returned items or excess overdraft should be fully explained with supporting documentation</t>
  </si>
  <si>
    <t>Any other supporting documentation required</t>
  </si>
  <si>
    <t>Application Form
• fully completed
• signed</t>
  </si>
  <si>
    <t>Current ID - passport or full valid Guernsey or Jersey driving licence (original or certified copy)</t>
  </si>
  <si>
    <t xml:space="preserve">Utility bill (excluding mobile phone bill), bank statement or other official Gornment documentation (Original or certified copy), showing current address and address as per the Application Form
• no more than 3 months old
</t>
  </si>
  <si>
    <t>Marriage certificate (if ID held under maiden name) (original or certified copy)</t>
  </si>
  <si>
    <t>supporting documentation for any other income (copies)</t>
  </si>
  <si>
    <t>NGM</t>
  </si>
  <si>
    <t>in favour of:-</t>
  </si>
  <si>
    <t>Skipton International has granted Approval in Principle for a mortgage of up to:-</t>
  </si>
  <si>
    <t>Mortgage Certificate</t>
  </si>
  <si>
    <t xml:space="preserve">This Certificate is valid until </t>
  </si>
  <si>
    <t>The document does not constitute an offer of a mortgage. Criteria may be changed at any time by Skipton International Limited which may affect the amount that ultimately may be offered.
A full application with supporting documents and credit search will need to be considered by Skipton International Limited to determine any mortgage offer.
Skipton International Limited is not under any obligation to offer any mortgage to you, shall have no liability, nor has entered into any obligation, as a result of this certificate.
Minimum Age 18 years. All mortgages are subject to status, valuation and and satisfactory title. Skipton International Limited requires a first charge on the property.
YOUR HOME MAY BE REPOSSESSED IF YOU DO NOT KEEP UP REPAYMENTS ON YOUR MORTGAGE</t>
  </si>
  <si>
    <t>Buy to Let</t>
  </si>
  <si>
    <t>Min Income</t>
  </si>
  <si>
    <t>BTL</t>
  </si>
  <si>
    <t>Min Income Level</t>
  </si>
  <si>
    <t>Min Rental Cover</t>
  </si>
  <si>
    <t>Buy to Let?</t>
  </si>
  <si>
    <t>BTL Affordability</t>
  </si>
  <si>
    <t>Residential</t>
  </si>
  <si>
    <t>Standard Variable Rate</t>
  </si>
  <si>
    <t>Jersey Min Valuation</t>
  </si>
  <si>
    <t>Guernsey Min Valuation</t>
  </si>
  <si>
    <t>Minimum Mortgage Value</t>
  </si>
  <si>
    <t>Residential Loan Size</t>
  </si>
  <si>
    <t>BTL Loan Size</t>
  </si>
  <si>
    <t>Term</t>
  </si>
  <si>
    <t>Initial Affordability</t>
  </si>
  <si>
    <t>Subsequent Affordability</t>
  </si>
  <si>
    <t>Age in 6 months time Applicant 1</t>
  </si>
  <si>
    <t>Age in 6 months time Applicant 2</t>
  </si>
  <si>
    <t>Available Products</t>
  </si>
  <si>
    <r>
      <t>DoB</t>
    </r>
    <r>
      <rPr>
        <sz val="8"/>
        <color indexed="8"/>
        <rFont val="Calibri"/>
        <family val="2"/>
      </rPr>
      <t xml:space="preserve"> (dd/mm/yy)</t>
    </r>
  </si>
  <si>
    <t>GHA</t>
  </si>
  <si>
    <t>GHA Min Valuation</t>
  </si>
  <si>
    <t>Jsy Residential Min</t>
  </si>
  <si>
    <t>GHA Residential Min</t>
  </si>
  <si>
    <t>Gsy Residential Min</t>
  </si>
  <si>
    <t>Jsy BTL Min</t>
  </si>
  <si>
    <t>GHA BTL Min</t>
  </si>
  <si>
    <t>Gsy BTL Min</t>
  </si>
  <si>
    <t>APR</t>
  </si>
  <si>
    <t>Field</t>
  </si>
  <si>
    <t>Value</t>
  </si>
  <si>
    <t>First Applicant Title</t>
  </si>
  <si>
    <t>First Applicant Forename</t>
  </si>
  <si>
    <t>First Applicant Surname</t>
  </si>
  <si>
    <t>First Applicant DoB</t>
  </si>
  <si>
    <t>Second Applicant Title</t>
  </si>
  <si>
    <t>Second Applicant Forename</t>
  </si>
  <si>
    <t>Second Applicant Surname</t>
  </si>
  <si>
    <t>Second Applicant DoB</t>
  </si>
  <si>
    <t>First Applicant Self Employed</t>
  </si>
  <si>
    <t>First Applicant Salary</t>
  </si>
  <si>
    <t>First Applicant Bonus</t>
  </si>
  <si>
    <t>First Applicant Overtime</t>
  </si>
  <si>
    <t>First Applicant Car Allowance</t>
  </si>
  <si>
    <t>First Applicant Other Income</t>
  </si>
  <si>
    <t>Second Applicant Self Employed</t>
  </si>
  <si>
    <t>Second Applicant Salary</t>
  </si>
  <si>
    <t>Second Applicant Bonus</t>
  </si>
  <si>
    <t>Second Applicant Overtime</t>
  </si>
  <si>
    <t>Second Applicant Car Allowance</t>
  </si>
  <si>
    <t>Second Applicant Other Income</t>
  </si>
  <si>
    <t>Liability 1 Description</t>
  </si>
  <si>
    <t>Liability 1 Balance</t>
  </si>
  <si>
    <t>Liability 1 Repayment</t>
  </si>
  <si>
    <t>Liability 1 Expiry</t>
  </si>
  <si>
    <t>Liability 2 Description</t>
  </si>
  <si>
    <t>Liability 2 Balance</t>
  </si>
  <si>
    <t>Liability 2 Repayment</t>
  </si>
  <si>
    <t>Liability 2 Expiry</t>
  </si>
  <si>
    <t>Liability 3 Description</t>
  </si>
  <si>
    <t>Liability 3 Balance</t>
  </si>
  <si>
    <t>Liability 3 Repayment</t>
  </si>
  <si>
    <t>Liability 3 Expiry</t>
  </si>
  <si>
    <t>Liability 4 Description</t>
  </si>
  <si>
    <t>Liability 4 Balance</t>
  </si>
  <si>
    <t>Liability 4 Repayment</t>
  </si>
  <si>
    <t>Liability 4 Expiry</t>
  </si>
  <si>
    <t>Property Value</t>
  </si>
  <si>
    <t>Buy to Let Check</t>
  </si>
  <si>
    <t>Buy to Let Rent</t>
  </si>
  <si>
    <t>Requested Term</t>
  </si>
  <si>
    <t>Broker Name</t>
  </si>
  <si>
    <t>Prepared By</t>
  </si>
  <si>
    <t>Date Prepared</t>
  </si>
  <si>
    <t>Island</t>
  </si>
  <si>
    <t>AIP Indication</t>
  </si>
  <si>
    <t>Max AIP Referal</t>
  </si>
  <si>
    <t>Monthly C&amp;I Payment</t>
  </si>
  <si>
    <t>Max AIP C&amp;I Calculator (2nd Iteration)</t>
  </si>
  <si>
    <t>MinLTV</t>
  </si>
  <si>
    <t>Short list</t>
  </si>
  <si>
    <t>Long list</t>
  </si>
  <si>
    <t>Max</t>
  </si>
  <si>
    <t>Self Employed?</t>
  </si>
  <si>
    <t>House Value</t>
  </si>
  <si>
    <t>&gt;85% LTV</t>
  </si>
  <si>
    <t>Next Generation Mortgage Available</t>
  </si>
  <si>
    <t>Skipton International - Approval In Principle Indicator</t>
  </si>
  <si>
    <t>Monthly C&amp;I 1</t>
  </si>
  <si>
    <t>Monthly C&amp;I 2</t>
  </si>
  <si>
    <t>Monthly C&amp;I 3</t>
  </si>
  <si>
    <t>Monthly C&amp;I 4</t>
  </si>
  <si>
    <t>Monthly C&amp;I 5</t>
  </si>
  <si>
    <t>Monthly C&amp;I 6</t>
  </si>
  <si>
    <t>Fee</t>
  </si>
  <si>
    <t>Monthly Repayment*</t>
  </si>
  <si>
    <t>Max AIP C&amp;I Calculator NGM</t>
  </si>
  <si>
    <t>Max AIP C&amp;I Calculator NGM (2nd Iteration)</t>
  </si>
  <si>
    <t>Max Post Retirement AIP C&amp;I Calculator NGM</t>
  </si>
  <si>
    <t>BTL Stress</t>
  </si>
  <si>
    <t>Res Stress</t>
  </si>
  <si>
    <t>Max Loan Size</t>
  </si>
  <si>
    <t>Next Generation</t>
  </si>
  <si>
    <t>General</t>
  </si>
  <si>
    <t>Effective Max</t>
  </si>
  <si>
    <t>Date:</t>
  </si>
  <si>
    <t>Version:</t>
  </si>
  <si>
    <r>
      <t xml:space="preserve">*The actual monthly repayment may vary depending upon the date of mortgage completion
The above does not constitute an offer of a mortgage. Minimum Age 18 years. 
A full application with supporting documents will need to be considered by Skipton International Limited.
All mortgages are subject status and valuation. Skipton International Limited requires a first charge on the property.
</t>
    </r>
    <r>
      <rPr>
        <sz val="11"/>
        <color indexed="36"/>
        <rFont val="Calibri"/>
        <family val="2"/>
      </rPr>
      <t xml:space="preserve">
</t>
    </r>
    <r>
      <rPr>
        <b/>
        <sz val="11"/>
        <color indexed="36"/>
        <rFont val="Calibri"/>
        <family val="2"/>
      </rPr>
      <t>YOUR HOME MAY BE REPOSSESSED IF YOU DO NOT KEEP UP REPAYMENTS ON YOUR MORTGAGE</t>
    </r>
  </si>
  <si>
    <t>Max Mortgage Product Fee</t>
  </si>
  <si>
    <t>Max Term Retirement</t>
  </si>
  <si>
    <t>Max Term Employed</t>
  </si>
  <si>
    <t>Max Loan by LTV</t>
  </si>
  <si>
    <t>Available Mortgages:</t>
  </si>
  <si>
    <t>Guernsey Document Duty</t>
  </si>
  <si>
    <t>Legal Fees</t>
  </si>
  <si>
    <t>of loan value</t>
  </si>
  <si>
    <t>Bond &amp; Court Fees</t>
  </si>
  <si>
    <t>Sole</t>
  </si>
  <si>
    <t>Joint</t>
  </si>
  <si>
    <t>Guernsey Legals</t>
  </si>
  <si>
    <t>Document Duty</t>
  </si>
  <si>
    <t>Purchase</t>
  </si>
  <si>
    <t>Remortgage</t>
  </si>
  <si>
    <t>Mortgage &amp; Property Details:</t>
  </si>
  <si>
    <t>Application Fee</t>
  </si>
  <si>
    <t>Max Post Retirement AIP C&amp;I Calculator (Iteration 2)</t>
  </si>
  <si>
    <t>Max Post Retirement AIP C&amp;I Calculator NGM (Iteration 2)</t>
  </si>
  <si>
    <t>Max LTV by Max Affordability</t>
  </si>
  <si>
    <t>Max LTV by Deposit</t>
  </si>
  <si>
    <t>Max by Deposit  90% LTV</t>
  </si>
  <si>
    <t>Max by Deposit  85% LTV</t>
  </si>
  <si>
    <t>Max by Deposit  80% LTV</t>
  </si>
  <si>
    <t>Max by Deposit  70% LTV</t>
  </si>
  <si>
    <t>Max by Deposit  75% LTV</t>
  </si>
  <si>
    <t>Max by Deposit  65% LTV</t>
  </si>
  <si>
    <t>Remo Term</t>
  </si>
  <si>
    <t>Purchase Term</t>
  </si>
  <si>
    <t>Date of birth</t>
  </si>
  <si>
    <t>Pension Age / years</t>
  </si>
  <si>
    <t>Dependent Children</t>
  </si>
  <si>
    <t>Sole Applicant Dependent Child</t>
  </si>
  <si>
    <t>Dual Applicants Dependent Child</t>
  </si>
  <si>
    <t>Outgoings</t>
  </si>
  <si>
    <t>Minimum Age</t>
  </si>
  <si>
    <t>5 Year Fixed to 60% LTV (FX)</t>
  </si>
  <si>
    <t>CMS</t>
  </si>
  <si>
    <t>CMS without adjustment</t>
  </si>
  <si>
    <t>Adjustment</t>
  </si>
  <si>
    <t>Realty Value</t>
  </si>
  <si>
    <t>The above does not constitute an offer of a mortgage.
A full application with supporting documents will need to be considered by Skipton International Limited.
The above is intended for indicative purposes only, final fees and costs will vary.
Minimum Age 18 years. All mortgages are subject status and valuation. Skipton International Limited requires a first charge on the property.
YOUR HOME MAY BE REPOSSESSED IF YOU DO NOT KEEP UP REPAYMENTS ON YOUR MORTGAGE</t>
  </si>
  <si>
    <t>Follow On Rate</t>
  </si>
  <si>
    <t>Updated 29/06/2021</t>
  </si>
  <si>
    <t>Max Age Term</t>
  </si>
  <si>
    <t>Max Age AIP C&amp;I Calculator</t>
  </si>
  <si>
    <t>Max Age AIP C&amp;I Calculator (Iteration 2)</t>
  </si>
  <si>
    <t>Max Age</t>
  </si>
  <si>
    <t>Balance At Retirement</t>
  </si>
  <si>
    <t>Max Age AIP C&amp;I Calculator &gt;85%LTV</t>
  </si>
  <si>
    <t>Max Age AIP C&amp;I Calculator &gt;85% LTV (Iteration 2)</t>
  </si>
  <si>
    <t>Max Age AIP C&amp;I Calculator NGM</t>
  </si>
  <si>
    <t>Max Age AIP C&amp;I Calculator NGM (Iteration 2)</t>
  </si>
  <si>
    <t>Max Age AIP C&amp;I Calculator &gt;70%LTV</t>
  </si>
  <si>
    <t>Max Age AIP C&amp;I Calculator &gt;70% LTV (Iteration 2)</t>
  </si>
  <si>
    <t>Follow On Rate to Requested Term</t>
  </si>
  <si>
    <t>Follow On Rate to Retirement Age</t>
  </si>
  <si>
    <t>Rent</t>
  </si>
  <si>
    <t>Broker AIP</t>
  </si>
  <si>
    <t>Direct</t>
  </si>
  <si>
    <t>Broker</t>
  </si>
  <si>
    <t>Interest Only</t>
  </si>
  <si>
    <t>Minimum Interest Only Value</t>
  </si>
  <si>
    <t>Interest Only Min</t>
  </si>
  <si>
    <t>To 70 years</t>
  </si>
  <si>
    <t>To Retirement</t>
  </si>
  <si>
    <t>Max Term to 70</t>
  </si>
  <si>
    <t>BTL 3 Year Tracker (BT008)</t>
  </si>
  <si>
    <t>5 Year Fixed to 85% LTV (F0054)</t>
  </si>
  <si>
    <t>3 Yr Base Rate Tracker to 85% LTV (UT033)</t>
  </si>
  <si>
    <t>3 Yr Base Rate Tracker to 80% LTV (UT032)</t>
  </si>
  <si>
    <t>3 Yr Base Rate Tracker to 75% LTV (T0037)</t>
  </si>
  <si>
    <t>3 Yr Base Rate Tracker to 90% LTV (T0038)</t>
  </si>
  <si>
    <t>5 Year Fixed to 75% LTV (F0062)</t>
  </si>
  <si>
    <t>5 Year Fixed to 90% LTV (F0063)</t>
  </si>
  <si>
    <t>5 Year Fixed (GH017)</t>
  </si>
  <si>
    <t>Next Generation Mortgage 5 Year (N0018)</t>
  </si>
  <si>
    <t>BTL 5 Year Fixed (BF018)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</si>
</sst>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8" formatCode="&quot;£&quot;#,##0.00;[Red]\-&quot;£&quot;#,##0.00"/>
    <numFmt numFmtId="43" formatCode="_-* #,##0.00_-;\-* #,##0.00_-;_-* &quot;-&quot;??_-;_-@_-"/>
    <numFmt numFmtId="164" formatCode="&quot;£&quot;#,##0"/>
    <numFmt numFmtId="165" formatCode="0.0%"/>
    <numFmt numFmtId="166" formatCode="0.000000"/>
    <numFmt numFmtId="167" formatCode="&quot;£&quot;#,##0.00"/>
    <numFmt numFmtId="168" formatCode="0.00000000000000"/>
    <numFmt numFmtId="169" formatCode="[$-F800]dddd\,\ mmmm\ dd\,\ yyyy"/>
    <numFmt numFmtId="170" formatCode="0.0000%"/>
    <numFmt numFmtId="171" formatCode="dd/mm/yyyy;@"/>
    <numFmt numFmtId="172" formatCode="* #,##0_);* \(#,##0\);* &quot; - &quot;_);_-@_-"/>
  </numFmts>
  <fonts count="24" x14ac:knownFonts="1">
    <font>
      <sz val="11"/>
      <color theme="1"/>
      <name val="Calibri"/>
      <family val="2"/>
      <scheme val="minor"/>
    </font>
    <font>
      <sz val="8"/>
      <color indexed="8"/>
      <name val="Calibri"/>
      <family val="2"/>
    </font>
    <font>
      <sz val="11"/>
      <color indexed="36"/>
      <name val="Calibri"/>
      <family val="2"/>
    </font>
    <font>
      <b/>
      <sz val="11"/>
      <color indexed="36"/>
      <name val="Calibri"/>
      <family val="2"/>
    </font>
    <font>
      <sz val="11"/>
      <color theme="1"/>
      <name val="Calibri"/>
      <family val="2"/>
      <scheme val="minor"/>
    </font>
    <font>
      <b/>
      <sz val="11"/>
      <color theme="1"/>
      <name val="Calibri"/>
      <family val="2"/>
      <scheme val="minor"/>
    </font>
    <font>
      <b/>
      <sz val="16"/>
      <color rgb="FF7C4199"/>
      <name val="Calibri"/>
      <family val="2"/>
      <scheme val="minor"/>
    </font>
    <font>
      <sz val="11"/>
      <name val="Calibri"/>
      <family val="2"/>
      <scheme val="minor"/>
    </font>
    <font>
      <b/>
      <sz val="11"/>
      <name val="Calibri"/>
      <family val="2"/>
      <scheme val="minor"/>
    </font>
    <font>
      <b/>
      <sz val="16"/>
      <color theme="1"/>
      <name val="Calibri"/>
      <family val="2"/>
      <scheme val="minor"/>
    </font>
    <font>
      <b/>
      <sz val="11"/>
      <color theme="1"/>
      <name val="Wingdings"/>
      <charset val="2"/>
    </font>
    <font>
      <b/>
      <sz val="20"/>
      <color rgb="FF7C4199"/>
      <name val="Calibri"/>
      <family val="2"/>
      <scheme val="minor"/>
    </font>
    <font>
      <b/>
      <sz val="14"/>
      <color rgb="FF7C4199"/>
      <name val="Calibri"/>
      <family val="2"/>
      <scheme val="minor"/>
    </font>
    <font>
      <sz val="12"/>
      <color rgb="FF7C4199"/>
      <name val="Arial"/>
      <family val="2"/>
    </font>
    <font>
      <sz val="10"/>
      <color theme="1"/>
      <name val="Calibri"/>
      <family val="2"/>
      <scheme val="minor"/>
    </font>
    <font>
      <b/>
      <sz val="36"/>
      <color rgb="FF7C4199"/>
      <name val="Calibri"/>
      <family val="2"/>
      <scheme val="minor"/>
    </font>
    <font>
      <b/>
      <sz val="24"/>
      <color rgb="FF7C4199"/>
      <name val="Calibri"/>
      <family val="2"/>
      <scheme val="minor"/>
    </font>
    <font>
      <b/>
      <sz val="11"/>
      <color rgb="FF7030A0"/>
      <name val="Calibri"/>
      <family val="2"/>
      <scheme val="minor"/>
    </font>
    <font>
      <b/>
      <sz val="16"/>
      <color rgb="FF7030A0"/>
      <name val="Calibri"/>
      <family val="2"/>
      <scheme val="minor"/>
    </font>
    <font>
      <sz val="11"/>
      <color theme="2" tint="-0.499984740745262"/>
      <name val="Calibri"/>
      <family val="2"/>
      <scheme val="minor"/>
    </font>
    <font>
      <sz val="11"/>
      <color rgb="FFFF0000"/>
      <name val="Calibri"/>
      <family val="2"/>
      <scheme val="minor"/>
    </font>
    <font>
      <b/>
      <sz val="14"/>
      <color rgb="FFFF0000"/>
      <name val="Calibri"/>
      <family val="2"/>
      <scheme val="minor"/>
    </font>
    <font>
      <sz val="14"/>
      <color theme="1"/>
      <name val="Calibri"/>
      <family val="2"/>
      <scheme val="minor"/>
    </font>
    <font>
      <sz val="11"/>
      <color theme="0"/>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4" fillId="0" borderId="0" applyFont="0" applyFill="0" applyBorder="0" applyAlignment="0" applyProtection="0"/>
    <xf numFmtId="43" fontId="4" fillId="0" borderId="0" applyFont="0" applyFill="0" applyBorder="0" applyAlignment="0" applyProtection="0"/>
  </cellStyleXfs>
  <cellXfs count="437">
    <xf numFmtId="0" fontId="0" fillId="0" borderId="0" xfId="0"/>
    <xf numFmtId="0" fontId="0" fillId="0" borderId="0" xfId="0" applyAlignment="1">
      <alignment horizontal="right" vertical="top"/>
    </xf>
    <xf numFmtId="0" fontId="0" fillId="0" borderId="0" xfId="0" applyAlignment="1">
      <alignment horizontal="center" vertical="top" wrapText="1"/>
    </xf>
    <xf numFmtId="0" fontId="5" fillId="0" borderId="0" xfId="0" applyFont="1"/>
    <xf numFmtId="164" fontId="0" fillId="0" borderId="0" xfId="0" applyNumberFormat="1"/>
    <xf numFmtId="0" fontId="0" fillId="0" borderId="0" xfId="0" applyAlignment="1">
      <alignment horizontal="right"/>
    </xf>
    <xf numFmtId="0" fontId="0" fillId="0" borderId="1" xfId="0" applyBorder="1"/>
    <xf numFmtId="0" fontId="0" fillId="0" borderId="2" xfId="0" applyBorder="1"/>
    <xf numFmtId="0" fontId="0" fillId="0" borderId="3" xfId="0" applyBorder="1"/>
    <xf numFmtId="0" fontId="0" fillId="0" borderId="4" xfId="0" applyBorder="1"/>
    <xf numFmtId="164" fontId="0" fillId="0" borderId="0" xfId="0" applyNumberFormat="1"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165" fontId="0" fillId="0" borderId="0" xfId="0" applyNumberFormat="1" applyBorder="1"/>
    <xf numFmtId="9" fontId="0" fillId="0" borderId="0" xfId="0" applyNumberFormat="1" applyBorder="1"/>
    <xf numFmtId="10" fontId="0" fillId="0" borderId="0" xfId="0" applyNumberFormat="1" applyAlignment="1">
      <alignment horizontal="right" vertical="center"/>
    </xf>
    <xf numFmtId="164" fontId="0" fillId="0" borderId="5" xfId="0" applyNumberFormat="1" applyBorder="1"/>
    <xf numFmtId="166" fontId="0" fillId="0" borderId="0" xfId="0" applyNumberFormat="1" applyBorder="1"/>
    <xf numFmtId="166" fontId="0" fillId="0" borderId="7" xfId="0" applyNumberFormat="1" applyBorder="1"/>
    <xf numFmtId="2" fontId="0" fillId="0" borderId="8" xfId="0" applyNumberFormat="1" applyBorder="1"/>
    <xf numFmtId="0" fontId="5" fillId="0" borderId="1" xfId="0" applyFont="1" applyBorder="1"/>
    <xf numFmtId="0" fontId="0" fillId="0" borderId="2" xfId="0" applyBorder="1" applyAlignment="1">
      <alignment horizontal="right"/>
    </xf>
    <xf numFmtId="0" fontId="0" fillId="0" borderId="4" xfId="0" applyFont="1" applyBorder="1"/>
    <xf numFmtId="0" fontId="0" fillId="0" borderId="0" xfId="0" applyFont="1"/>
    <xf numFmtId="165" fontId="4" fillId="0" borderId="0" xfId="1" applyNumberFormat="1" applyFont="1" applyBorder="1"/>
    <xf numFmtId="165" fontId="4" fillId="0" borderId="7" xfId="1" applyNumberFormat="1" applyFont="1" applyBorder="1"/>
    <xf numFmtId="2" fontId="0" fillId="0" borderId="0" xfId="0" applyNumberFormat="1" applyBorder="1"/>
    <xf numFmtId="1" fontId="0" fillId="0" borderId="0" xfId="0" applyNumberFormat="1" applyBorder="1"/>
    <xf numFmtId="167" fontId="0" fillId="0" borderId="7" xfId="0" applyNumberFormat="1" applyBorder="1"/>
    <xf numFmtId="0" fontId="0" fillId="0" borderId="0" xfId="0" applyBorder="1" applyAlignment="1">
      <alignment horizontal="right"/>
    </xf>
    <xf numFmtId="164" fontId="0" fillId="0" borderId="7" xfId="0" applyNumberFormat="1" applyBorder="1"/>
    <xf numFmtId="9" fontId="4" fillId="0" borderId="5" xfId="1" applyFont="1" applyBorder="1"/>
    <xf numFmtId="9" fontId="4" fillId="0" borderId="8" xfId="1" applyFont="1" applyBorder="1"/>
    <xf numFmtId="0" fontId="0" fillId="0" borderId="4" xfId="0" applyBorder="1" applyAlignment="1">
      <alignment horizontal="right"/>
    </xf>
    <xf numFmtId="0" fontId="0" fillId="0" borderId="6" xfId="0" applyBorder="1" applyAlignment="1">
      <alignment horizontal="right"/>
    </xf>
    <xf numFmtId="0" fontId="0" fillId="0" borderId="3" xfId="0" applyBorder="1" applyAlignment="1">
      <alignment horizontal="right"/>
    </xf>
    <xf numFmtId="164" fontId="0" fillId="0" borderId="8" xfId="0" applyNumberFormat="1" applyBorder="1"/>
    <xf numFmtId="0" fontId="0" fillId="0" borderId="0" xfId="0" applyAlignment="1">
      <alignment vertical="center"/>
    </xf>
    <xf numFmtId="0" fontId="0" fillId="2" borderId="6" xfId="0" applyFill="1" applyBorder="1" applyProtection="1">
      <protection locked="0"/>
    </xf>
    <xf numFmtId="164" fontId="0" fillId="2" borderId="5" xfId="0" applyNumberFormat="1" applyFill="1" applyBorder="1" applyProtection="1">
      <protection locked="0"/>
    </xf>
    <xf numFmtId="164" fontId="0" fillId="2" borderId="8" xfId="0" applyNumberFormat="1" applyFill="1" applyBorder="1" applyProtection="1">
      <protection locked="0"/>
    </xf>
    <xf numFmtId="164" fontId="0" fillId="2" borderId="7" xfId="0" applyNumberFormat="1" applyFill="1" applyBorder="1" applyProtection="1">
      <protection locked="0"/>
    </xf>
    <xf numFmtId="0" fontId="0" fillId="2" borderId="10" xfId="0" applyFill="1" applyBorder="1" applyProtection="1">
      <protection locked="0"/>
    </xf>
    <xf numFmtId="0" fontId="6" fillId="0" borderId="0" xfId="0" applyFont="1"/>
    <xf numFmtId="0" fontId="0" fillId="0" borderId="0" xfId="0" applyProtection="1">
      <protection hidden="1"/>
    </xf>
    <xf numFmtId="168" fontId="0" fillId="0" borderId="0" xfId="0" applyNumberFormat="1" applyBorder="1"/>
    <xf numFmtId="167" fontId="0" fillId="0" borderId="0" xfId="0" applyNumberFormat="1" applyBorder="1"/>
    <xf numFmtId="10" fontId="7" fillId="0" borderId="1" xfId="0" applyNumberFormat="1" applyFont="1" applyFill="1" applyBorder="1" applyAlignment="1" applyProtection="1"/>
    <xf numFmtId="10" fontId="7" fillId="0" borderId="4" xfId="0" applyNumberFormat="1" applyFont="1" applyFill="1" applyBorder="1" applyAlignment="1" applyProtection="1"/>
    <xf numFmtId="10" fontId="8" fillId="0" borderId="4" xfId="0" applyNumberFormat="1" applyFont="1" applyFill="1" applyBorder="1" applyAlignment="1" applyProtection="1"/>
    <xf numFmtId="10" fontId="8" fillId="0" borderId="6" xfId="0" applyNumberFormat="1" applyFont="1" applyFill="1" applyBorder="1" applyAlignment="1" applyProtection="1"/>
    <xf numFmtId="10" fontId="8" fillId="0" borderId="0" xfId="0" applyNumberFormat="1" applyFont="1" applyFill="1" applyBorder="1" applyAlignment="1" applyProtection="1"/>
    <xf numFmtId="0" fontId="7" fillId="0" borderId="11" xfId="0" applyNumberFormat="1" applyFont="1" applyFill="1" applyBorder="1" applyAlignment="1" applyProtection="1"/>
    <xf numFmtId="6" fontId="7" fillId="0" borderId="4" xfId="0" applyNumberFormat="1" applyFont="1" applyFill="1" applyBorder="1" applyAlignment="1" applyProtection="1"/>
    <xf numFmtId="0" fontId="7" fillId="0" borderId="4" xfId="0" applyNumberFormat="1" applyFont="1" applyFill="1" applyBorder="1" applyAlignment="1" applyProtection="1"/>
    <xf numFmtId="167" fontId="7" fillId="0" borderId="4" xfId="0" applyNumberFormat="1" applyFont="1" applyFill="1" applyBorder="1" applyAlignment="1" applyProtection="1"/>
    <xf numFmtId="0" fontId="8" fillId="0" borderId="6" xfId="0" applyNumberFormat="1" applyFont="1" applyFill="1" applyBorder="1" applyAlignment="1" applyProtection="1"/>
    <xf numFmtId="164" fontId="7" fillId="0" borderId="11" xfId="0" applyNumberFormat="1" applyFont="1" applyFill="1" applyBorder="1" applyAlignment="1" applyProtection="1"/>
    <xf numFmtId="164" fontId="7" fillId="0" borderId="0" xfId="0" applyNumberFormat="1" applyFont="1" applyFill="1" applyBorder="1" applyAlignment="1" applyProtection="1"/>
    <xf numFmtId="164" fontId="7" fillId="0" borderId="10" xfId="0" applyNumberFormat="1" applyFont="1" applyFill="1" applyBorder="1" applyAlignment="1" applyProtection="1"/>
    <xf numFmtId="164" fontId="7" fillId="0" borderId="11" xfId="0" applyNumberFormat="1" applyFont="1" applyFill="1" applyBorder="1" applyAlignment="1" applyProtection="1">
      <alignment horizontal="right"/>
    </xf>
    <xf numFmtId="164" fontId="8" fillId="0" borderId="11" xfId="0" applyNumberFormat="1" applyFont="1" applyFill="1" applyBorder="1" applyAlignment="1" applyProtection="1"/>
    <xf numFmtId="164" fontId="0" fillId="0" borderId="10" xfId="0" applyNumberFormat="1" applyBorder="1"/>
    <xf numFmtId="0" fontId="0" fillId="0" borderId="2" xfId="0" applyFill="1" applyBorder="1" applyAlignment="1">
      <alignment horizontal="center"/>
    </xf>
    <xf numFmtId="0" fontId="0" fillId="0" borderId="3" xfId="0" applyFill="1" applyBorder="1" applyAlignment="1">
      <alignment horizontal="center"/>
    </xf>
    <xf numFmtId="167" fontId="0" fillId="0" borderId="5" xfId="0" applyNumberFormat="1" applyBorder="1"/>
    <xf numFmtId="0" fontId="0" fillId="2" borderId="12" xfId="0" applyFill="1" applyBorder="1" applyProtection="1">
      <protection locked="0"/>
    </xf>
    <xf numFmtId="9" fontId="0" fillId="2" borderId="5" xfId="0" applyNumberFormat="1" applyFill="1" applyBorder="1" applyProtection="1">
      <protection locked="0"/>
    </xf>
    <xf numFmtId="9" fontId="0" fillId="2" borderId="8" xfId="0" applyNumberFormat="1" applyFill="1" applyBorder="1" applyProtection="1">
      <protection locked="0"/>
    </xf>
    <xf numFmtId="0" fontId="0" fillId="2" borderId="0" xfId="0" applyFill="1" applyBorder="1" applyProtection="1">
      <protection locked="0"/>
    </xf>
    <xf numFmtId="9" fontId="0" fillId="2" borderId="7" xfId="0" applyNumberFormat="1" applyFill="1" applyBorder="1" applyProtection="1">
      <protection locked="0"/>
    </xf>
    <xf numFmtId="6" fontId="0" fillId="2" borderId="4" xfId="0" applyNumberFormat="1" applyFill="1" applyBorder="1" applyProtection="1">
      <protection locked="0"/>
    </xf>
    <xf numFmtId="6" fontId="0" fillId="2" borderId="6" xfId="0" applyNumberFormat="1" applyFill="1" applyBorder="1" applyProtection="1">
      <protection locked="0"/>
    </xf>
    <xf numFmtId="10" fontId="0" fillId="2" borderId="5" xfId="0" applyNumberFormat="1" applyFill="1" applyBorder="1" applyProtection="1">
      <protection locked="0"/>
    </xf>
    <xf numFmtId="6" fontId="0" fillId="0" borderId="0" xfId="0" applyNumberFormat="1" applyFill="1" applyBorder="1" applyProtection="1">
      <protection locked="0"/>
    </xf>
    <xf numFmtId="0" fontId="0" fillId="0" borderId="4" xfId="0" applyFill="1" applyBorder="1"/>
    <xf numFmtId="0" fontId="0" fillId="0" borderId="6" xfId="0" applyFill="1" applyBorder="1"/>
    <xf numFmtId="0" fontId="0" fillId="0" borderId="0" xfId="0" applyFill="1" applyBorder="1"/>
    <xf numFmtId="0" fontId="0" fillId="0" borderId="13" xfId="0" applyFill="1" applyBorder="1"/>
    <xf numFmtId="0" fontId="0" fillId="0" borderId="14" xfId="0" applyBorder="1"/>
    <xf numFmtId="15" fontId="10" fillId="2" borderId="9" xfId="0" applyNumberFormat="1" applyFont="1" applyFill="1" applyBorder="1" applyProtection="1">
      <protection locked="0"/>
    </xf>
    <xf numFmtId="0" fontId="0" fillId="0" borderId="12" xfId="0" applyBorder="1"/>
    <xf numFmtId="0" fontId="0" fillId="0" borderId="1" xfId="0" applyFill="1" applyBorder="1"/>
    <xf numFmtId="0" fontId="0" fillId="0" borderId="0" xfId="0" applyAlignment="1">
      <alignment horizontal="center" wrapText="1"/>
    </xf>
    <xf numFmtId="0" fontId="0" fillId="0" borderId="0" xfId="0" applyAlignment="1">
      <alignment horizontal="center"/>
    </xf>
    <xf numFmtId="164" fontId="0" fillId="0" borderId="0" xfId="0" applyNumberFormat="1" applyAlignment="1">
      <alignment horizontal="center"/>
    </xf>
    <xf numFmtId="0" fontId="11" fillId="0" borderId="0" xfId="0" applyFont="1" applyAlignment="1">
      <alignment horizontal="center"/>
    </xf>
    <xf numFmtId="0" fontId="12" fillId="0" borderId="0" xfId="0" applyFont="1" applyAlignment="1">
      <alignment horizontal="center"/>
    </xf>
    <xf numFmtId="14" fontId="0" fillId="0" borderId="0" xfId="0" applyNumberFormat="1" applyAlignment="1">
      <alignment horizontal="center"/>
    </xf>
    <xf numFmtId="169" fontId="12" fillId="0" borderId="0" xfId="0" applyNumberFormat="1" applyFont="1" applyAlignment="1">
      <alignment horizontal="center"/>
    </xf>
    <xf numFmtId="169" fontId="13" fillId="0" borderId="0" xfId="0" applyNumberFormat="1" applyFont="1"/>
    <xf numFmtId="0" fontId="14" fillId="0" borderId="0" xfId="0" applyFont="1" applyAlignment="1">
      <alignment horizontal="center" wrapText="1"/>
    </xf>
    <xf numFmtId="0" fontId="15" fillId="0" borderId="0" xfId="0" applyFont="1" applyAlignment="1">
      <alignment horizontal="center"/>
    </xf>
    <xf numFmtId="164" fontId="16" fillId="0" borderId="0" xfId="0" applyNumberFormat="1" applyFont="1" applyAlignment="1">
      <alignment horizontal="center"/>
    </xf>
    <xf numFmtId="6" fontId="0" fillId="2" borderId="5" xfId="0" applyNumberFormat="1" applyFill="1" applyBorder="1" applyProtection="1">
      <protection locked="0"/>
    </xf>
    <xf numFmtId="0" fontId="0" fillId="0" borderId="3" xfId="0" applyFill="1" applyBorder="1" applyProtection="1">
      <protection locked="0"/>
    </xf>
    <xf numFmtId="0" fontId="0" fillId="0" borderId="5" xfId="0" applyFill="1" applyBorder="1" applyProtection="1">
      <protection locked="0"/>
    </xf>
    <xf numFmtId="0" fontId="0" fillId="2" borderId="2" xfId="0" applyFill="1" applyBorder="1" applyProtection="1">
      <protection locked="0"/>
    </xf>
    <xf numFmtId="6" fontId="0" fillId="2" borderId="3" xfId="0" applyNumberFormat="1" applyFill="1" applyBorder="1" applyProtection="1">
      <protection locked="0"/>
    </xf>
    <xf numFmtId="6" fontId="0" fillId="2" borderId="8" xfId="0" applyNumberFormat="1" applyFill="1" applyBorder="1" applyProtection="1">
      <protection locked="0"/>
    </xf>
    <xf numFmtId="6" fontId="0" fillId="2" borderId="0" xfId="0" applyNumberFormat="1" applyFill="1" applyBorder="1" applyProtection="1">
      <protection locked="0"/>
    </xf>
    <xf numFmtId="6" fontId="0" fillId="2" borderId="7" xfId="0" applyNumberFormat="1" applyFill="1" applyBorder="1" applyProtection="1">
      <protection locked="0"/>
    </xf>
    <xf numFmtId="0" fontId="0" fillId="0" borderId="1" xfId="0" applyBorder="1" applyAlignment="1">
      <alignment horizontal="right"/>
    </xf>
    <xf numFmtId="164" fontId="0" fillId="2" borderId="0" xfId="0" applyNumberFormat="1" applyFill="1" applyBorder="1" applyProtection="1">
      <protection locked="0"/>
    </xf>
    <xf numFmtId="0" fontId="0" fillId="2" borderId="4" xfId="0" applyFill="1" applyBorder="1" applyProtection="1">
      <protection locked="0"/>
    </xf>
    <xf numFmtId="10" fontId="0" fillId="2" borderId="0" xfId="0" applyNumberFormat="1" applyFill="1" applyBorder="1" applyProtection="1">
      <protection locked="0"/>
    </xf>
    <xf numFmtId="9" fontId="0" fillId="2" borderId="0" xfId="0" applyNumberFormat="1" applyFill="1" applyBorder="1" applyProtection="1">
      <protection locked="0"/>
    </xf>
    <xf numFmtId="0" fontId="0" fillId="2" borderId="0" xfId="0" applyFill="1" applyBorder="1" applyAlignment="1" applyProtection="1">
      <alignment horizontal="center"/>
      <protection locked="0"/>
    </xf>
    <xf numFmtId="0" fontId="0" fillId="0" borderId="0" xfId="0" applyAlignment="1">
      <alignment horizontal="center"/>
    </xf>
    <xf numFmtId="9" fontId="4" fillId="2" borderId="5" xfId="1" applyFont="1" applyFill="1" applyBorder="1" applyAlignment="1">
      <alignment horizontal="right"/>
    </xf>
    <xf numFmtId="9" fontId="0" fillId="2" borderId="8" xfId="0" applyNumberFormat="1" applyFill="1" applyBorder="1"/>
    <xf numFmtId="10" fontId="4" fillId="2" borderId="0" xfId="1" applyNumberFormat="1" applyFont="1" applyFill="1" applyBorder="1" applyProtection="1">
      <protection locked="0"/>
    </xf>
    <xf numFmtId="10" fontId="0" fillId="2" borderId="7" xfId="0" applyNumberFormat="1" applyFill="1" applyBorder="1" applyProtection="1">
      <protection locked="0"/>
    </xf>
    <xf numFmtId="0" fontId="0" fillId="2" borderId="7" xfId="0" applyFill="1" applyBorder="1" applyAlignment="1" applyProtection="1">
      <alignment horizontal="center"/>
      <protection locked="0"/>
    </xf>
    <xf numFmtId="15" fontId="0" fillId="4" borderId="8" xfId="0" applyNumberFormat="1" applyFill="1" applyBorder="1" applyProtection="1">
      <protection locked="0"/>
    </xf>
    <xf numFmtId="164" fontId="0" fillId="4" borderId="11" xfId="0" applyNumberFormat="1" applyFill="1" applyBorder="1" applyProtection="1">
      <protection locked="0"/>
    </xf>
    <xf numFmtId="164" fontId="7" fillId="4" borderId="11" xfId="0" applyNumberFormat="1" applyFont="1" applyFill="1" applyBorder="1" applyAlignment="1" applyProtection="1">
      <protection locked="0"/>
    </xf>
    <xf numFmtId="164" fontId="0" fillId="3" borderId="0" xfId="0" applyNumberFormat="1" applyFill="1" applyBorder="1" applyProtection="1"/>
    <xf numFmtId="0" fontId="0" fillId="0" borderId="0" xfId="0" applyAlignment="1"/>
    <xf numFmtId="0" fontId="0" fillId="0" borderId="0" xfId="0" applyAlignment="1">
      <alignment horizontal="left" wrapText="1"/>
    </xf>
    <xf numFmtId="9" fontId="0" fillId="0" borderId="0" xfId="0" applyNumberFormat="1" applyFill="1" applyBorder="1" applyProtection="1">
      <protection locked="0"/>
    </xf>
    <xf numFmtId="9" fontId="0" fillId="0" borderId="7" xfId="0" applyNumberFormat="1" applyFill="1" applyBorder="1" applyProtection="1">
      <protection locked="0"/>
    </xf>
    <xf numFmtId="10" fontId="4" fillId="0" borderId="0" xfId="1" applyNumberFormat="1" applyFont="1" applyBorder="1"/>
    <xf numFmtId="6" fontId="0" fillId="0" borderId="5" xfId="0" applyNumberFormat="1" applyFill="1" applyBorder="1" applyProtection="1">
      <protection locked="0"/>
    </xf>
    <xf numFmtId="6" fontId="0" fillId="0" borderId="8" xfId="0" applyNumberFormat="1" applyFill="1" applyBorder="1" applyProtection="1">
      <protection locked="0"/>
    </xf>
    <xf numFmtId="165" fontId="0" fillId="2" borderId="0" xfId="0" applyNumberFormat="1" applyFill="1" applyBorder="1" applyProtection="1">
      <protection locked="0"/>
    </xf>
    <xf numFmtId="165" fontId="0" fillId="2" borderId="7" xfId="0" applyNumberFormat="1" applyFill="1" applyBorder="1" applyProtection="1">
      <protection locked="0"/>
    </xf>
    <xf numFmtId="14" fontId="0" fillId="0" borderId="0" xfId="0" applyNumberFormat="1" applyAlignment="1">
      <alignment horizontal="right"/>
    </xf>
    <xf numFmtId="15" fontId="0" fillId="0" borderId="0" xfId="0" applyNumberFormat="1" applyAlignment="1">
      <alignment horizontal="right"/>
    </xf>
    <xf numFmtId="9" fontId="4" fillId="0" borderId="0" xfId="1" applyFont="1" applyBorder="1"/>
    <xf numFmtId="10" fontId="4" fillId="0" borderId="0" xfId="1" applyNumberFormat="1" applyFont="1" applyBorder="1"/>
    <xf numFmtId="1" fontId="0" fillId="0" borderId="0" xfId="0" applyNumberFormat="1"/>
    <xf numFmtId="0" fontId="0" fillId="0" borderId="0" xfId="0" applyAlignment="1">
      <alignment horizontal="center"/>
    </xf>
    <xf numFmtId="0" fontId="0" fillId="0" borderId="0" xfId="0"/>
    <xf numFmtId="0" fontId="0" fillId="0" borderId="4" xfId="0" applyBorder="1"/>
    <xf numFmtId="0" fontId="0" fillId="0" borderId="5" xfId="0" applyBorder="1"/>
    <xf numFmtId="10" fontId="0" fillId="0" borderId="0" xfId="0" applyNumberFormat="1"/>
    <xf numFmtId="165" fontId="0" fillId="0" borderId="0" xfId="0" applyNumberFormat="1"/>
    <xf numFmtId="0" fontId="0" fillId="0" borderId="0" xfId="0" applyFill="1"/>
    <xf numFmtId="10" fontId="0" fillId="0" borderId="0" xfId="0" applyNumberFormat="1" applyBorder="1"/>
    <xf numFmtId="10" fontId="4" fillId="0" borderId="7" xfId="1" applyNumberFormat="1" applyFont="1" applyBorder="1"/>
    <xf numFmtId="10" fontId="0" fillId="0" borderId="2" xfId="0" applyNumberFormat="1" applyBorder="1"/>
    <xf numFmtId="165" fontId="0" fillId="0" borderId="2" xfId="0" applyNumberFormat="1" applyBorder="1"/>
    <xf numFmtId="10" fontId="0" fillId="0" borderId="7" xfId="0" applyNumberFormat="1" applyBorder="1"/>
    <xf numFmtId="165" fontId="0" fillId="0" borderId="7" xfId="0" applyNumberFormat="1" applyBorder="1"/>
    <xf numFmtId="9" fontId="19" fillId="0" borderId="0" xfId="1" applyFont="1" applyAlignment="1">
      <alignment horizontal="center"/>
    </xf>
    <xf numFmtId="49" fontId="0" fillId="0" borderId="0" xfId="0" applyNumberFormat="1" applyAlignment="1">
      <alignment horizontal="right"/>
    </xf>
    <xf numFmtId="164" fontId="0" fillId="4" borderId="2" xfId="0" applyNumberFormat="1" applyFill="1" applyBorder="1" applyProtection="1">
      <protection locked="0"/>
    </xf>
    <xf numFmtId="164" fontId="0" fillId="4" borderId="0" xfId="0" applyNumberFormat="1" applyFill="1" applyBorder="1" applyProtection="1">
      <protection locked="0"/>
    </xf>
    <xf numFmtId="164" fontId="0" fillId="4" borderId="7" xfId="0" applyNumberFormat="1" applyFill="1" applyBorder="1" applyProtection="1">
      <protection locked="0"/>
    </xf>
    <xf numFmtId="0" fontId="0" fillId="0" borderId="0" xfId="0"/>
    <xf numFmtId="0" fontId="0" fillId="0" borderId="0" xfId="0" applyFill="1" applyBorder="1"/>
    <xf numFmtId="15" fontId="0" fillId="4" borderId="3" xfId="0" applyNumberFormat="1" applyFill="1" applyBorder="1" applyProtection="1">
      <protection locked="0"/>
    </xf>
    <xf numFmtId="15" fontId="0" fillId="4" borderId="5" xfId="0" applyNumberFormat="1" applyFill="1" applyBorder="1" applyProtection="1">
      <protection locked="0"/>
    </xf>
    <xf numFmtId="0" fontId="0" fillId="4" borderId="11" xfId="0" applyFill="1" applyBorder="1" applyAlignment="1" applyProtection="1">
      <alignment horizontal="right"/>
      <protection locked="0"/>
    </xf>
    <xf numFmtId="1" fontId="0" fillId="0" borderId="5" xfId="0" applyNumberFormat="1" applyBorder="1"/>
    <xf numFmtId="164" fontId="0" fillId="0" borderId="0" xfId="0" applyNumberFormat="1"/>
    <xf numFmtId="9" fontId="0" fillId="0" borderId="0" xfId="1" applyFont="1" applyBorder="1"/>
    <xf numFmtId="167" fontId="0" fillId="0" borderId="0" xfId="0" applyNumberFormat="1" applyFont="1" applyBorder="1"/>
    <xf numFmtId="167" fontId="0" fillId="0" borderId="7" xfId="0" applyNumberFormat="1" applyFont="1" applyBorder="1"/>
    <xf numFmtId="164" fontId="0" fillId="0" borderId="2" xfId="0" applyNumberFormat="1" applyBorder="1"/>
    <xf numFmtId="0" fontId="0" fillId="0" borderId="0" xfId="0" applyAlignment="1">
      <alignment horizontal="center"/>
    </xf>
    <xf numFmtId="0" fontId="0" fillId="0" borderId="0" xfId="0" applyFill="1" applyBorder="1" applyProtection="1">
      <protection locked="0"/>
    </xf>
    <xf numFmtId="0" fontId="0" fillId="0" borderId="1" xfId="0" applyFill="1" applyBorder="1" applyProtection="1">
      <protection locked="0"/>
    </xf>
    <xf numFmtId="0" fontId="0" fillId="0" borderId="4" xfId="0" applyFill="1" applyBorder="1" applyProtection="1">
      <protection locked="0"/>
    </xf>
    <xf numFmtId="0" fontId="0" fillId="0" borderId="6" xfId="0" applyFill="1" applyBorder="1" applyProtection="1">
      <protection locked="0"/>
    </xf>
    <xf numFmtId="164" fontId="0" fillId="4" borderId="4" xfId="0" applyNumberFormat="1" applyFill="1" applyBorder="1" applyProtection="1">
      <protection locked="0"/>
    </xf>
    <xf numFmtId="164" fontId="0" fillId="4" borderId="5" xfId="0" applyNumberFormat="1" applyFill="1" applyBorder="1" applyProtection="1">
      <protection locked="0"/>
    </xf>
    <xf numFmtId="164" fontId="0" fillId="4" borderId="6" xfId="0" applyNumberFormat="1" applyFill="1" applyBorder="1" applyProtection="1">
      <protection locked="0"/>
    </xf>
    <xf numFmtId="164" fontId="0" fillId="4" borderId="8" xfId="0" applyNumberFormat="1" applyFill="1" applyBorder="1" applyProtection="1">
      <protection locked="0"/>
    </xf>
    <xf numFmtId="10" fontId="4" fillId="0" borderId="0" xfId="1" applyNumberFormat="1" applyFont="1" applyFill="1" applyBorder="1"/>
    <xf numFmtId="165" fontId="4" fillId="0" borderId="0" xfId="1" applyNumberFormat="1" applyFont="1" applyFill="1" applyBorder="1"/>
    <xf numFmtId="0" fontId="0" fillId="0" borderId="0" xfId="0" applyAlignment="1">
      <alignment horizontal="center"/>
    </xf>
    <xf numFmtId="0" fontId="0" fillId="0" borderId="0" xfId="0" applyAlignment="1">
      <alignment horizontal="center"/>
    </xf>
    <xf numFmtId="0" fontId="0" fillId="0" borderId="0" xfId="0" applyFont="1" applyBorder="1"/>
    <xf numFmtId="9" fontId="0" fillId="0" borderId="5" xfId="1" applyFont="1" applyBorder="1"/>
    <xf numFmtId="167" fontId="0" fillId="0" borderId="5" xfId="0" applyNumberFormat="1" applyFont="1" applyBorder="1"/>
    <xf numFmtId="167" fontId="0" fillId="0" borderId="8" xfId="0" applyNumberFormat="1" applyFont="1" applyBorder="1"/>
    <xf numFmtId="164" fontId="0" fillId="0" borderId="0" xfId="0" applyNumberFormat="1" applyFill="1" applyBorder="1"/>
    <xf numFmtId="164" fontId="0" fillId="0" borderId="7" xfId="0" applyNumberFormat="1" applyFill="1" applyBorder="1"/>
    <xf numFmtId="0" fontId="0" fillId="2" borderId="0" xfId="0" applyFill="1" applyBorder="1"/>
    <xf numFmtId="0" fontId="0" fillId="0" borderId="2" xfId="0" applyFill="1" applyBorder="1" applyAlignment="1" applyProtection="1">
      <alignment horizontal="right"/>
      <protection locked="0"/>
    </xf>
    <xf numFmtId="0" fontId="0" fillId="2" borderId="7" xfId="0" applyFill="1" applyBorder="1"/>
    <xf numFmtId="10" fontId="0" fillId="2" borderId="0" xfId="0" applyNumberFormat="1" applyFill="1" applyBorder="1"/>
    <xf numFmtId="10" fontId="0" fillId="2" borderId="7" xfId="0" applyNumberFormat="1" applyFill="1" applyBorder="1"/>
    <xf numFmtId="0" fontId="0" fillId="0" borderId="3" xfId="0" applyBorder="1" applyAlignment="1">
      <alignment horizontal="right"/>
    </xf>
    <xf numFmtId="9" fontId="0" fillId="2" borderId="5" xfId="0" applyNumberFormat="1" applyFill="1" applyBorder="1"/>
    <xf numFmtId="0" fontId="0" fillId="0" borderId="5" xfId="0" applyBorder="1" applyAlignment="1">
      <alignment horizontal="right"/>
    </xf>
    <xf numFmtId="14" fontId="0" fillId="0" borderId="0" xfId="0" applyNumberFormat="1"/>
    <xf numFmtId="0" fontId="17" fillId="0" borderId="0" xfId="0" applyFont="1" applyAlignment="1">
      <alignment horizontal="right"/>
    </xf>
    <xf numFmtId="0" fontId="0" fillId="0" borderId="0" xfId="0" applyFill="1" applyBorder="1" applyAlignment="1" applyProtection="1">
      <alignment horizontal="left" vertical="top"/>
    </xf>
    <xf numFmtId="0" fontId="0" fillId="0" borderId="0" xfId="0" applyFill="1" applyProtection="1"/>
    <xf numFmtId="14" fontId="0" fillId="4" borderId="11" xfId="0" applyNumberFormat="1" applyFill="1" applyBorder="1" applyAlignment="1" applyProtection="1">
      <alignment horizontal="left"/>
      <protection locked="0"/>
    </xf>
    <xf numFmtId="0" fontId="5" fillId="0" borderId="0" xfId="0" applyFont="1" applyBorder="1"/>
    <xf numFmtId="0" fontId="0" fillId="0" borderId="0" xfId="0" applyFill="1" applyBorder="1"/>
    <xf numFmtId="164" fontId="0" fillId="4" borderId="13" xfId="0" applyNumberFormat="1" applyFill="1" applyBorder="1" applyAlignment="1" applyProtection="1">
      <alignment horizontal="right"/>
      <protection locked="0"/>
    </xf>
    <xf numFmtId="164" fontId="0" fillId="0" borderId="0" xfId="0" applyNumberFormat="1" applyBorder="1"/>
    <xf numFmtId="0" fontId="0" fillId="0" borderId="4" xfId="0" applyFill="1" applyBorder="1"/>
    <xf numFmtId="170" fontId="0" fillId="0" borderId="0" xfId="0" applyNumberFormat="1"/>
    <xf numFmtId="170" fontId="0" fillId="0" borderId="2" xfId="0" applyNumberFormat="1" applyBorder="1"/>
    <xf numFmtId="170" fontId="0" fillId="2" borderId="0" xfId="0" applyNumberFormat="1" applyFill="1" applyBorder="1" applyProtection="1">
      <protection locked="0"/>
    </xf>
    <xf numFmtId="170" fontId="0" fillId="2" borderId="7" xfId="0" applyNumberFormat="1" applyFill="1" applyBorder="1" applyProtection="1">
      <protection locked="0"/>
    </xf>
    <xf numFmtId="170" fontId="0" fillId="0" borderId="0" xfId="0" applyNumberFormat="1" applyBorder="1"/>
    <xf numFmtId="170" fontId="0" fillId="0" borderId="3" xfId="0" applyNumberFormat="1" applyBorder="1" applyAlignment="1">
      <alignment horizontal="right"/>
    </xf>
    <xf numFmtId="10" fontId="0" fillId="0" borderId="0" xfId="1" applyNumberFormat="1" applyFont="1"/>
    <xf numFmtId="164" fontId="0" fillId="0" borderId="0" xfId="0" applyNumberFormat="1" applyFill="1"/>
    <xf numFmtId="164" fontId="0" fillId="5" borderId="7" xfId="0" applyNumberFormat="1" applyFill="1" applyBorder="1"/>
    <xf numFmtId="0" fontId="0" fillId="0" borderId="10" xfId="0" applyFill="1" applyBorder="1"/>
    <xf numFmtId="164" fontId="0" fillId="0" borderId="0" xfId="0" applyNumberFormat="1" applyFill="1" applyBorder="1" applyProtection="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166" fontId="0" fillId="0" borderId="0" xfId="0" applyNumberFormat="1" applyBorder="1"/>
    <xf numFmtId="0" fontId="5" fillId="0" borderId="1" xfId="0" applyFont="1" applyBorder="1"/>
    <xf numFmtId="2" fontId="0" fillId="0" borderId="0" xfId="0" applyNumberFormat="1" applyBorder="1"/>
    <xf numFmtId="1" fontId="0" fillId="0" borderId="0" xfId="0" applyNumberFormat="1" applyBorder="1"/>
    <xf numFmtId="167" fontId="0" fillId="0" borderId="7" xfId="0" applyNumberFormat="1" applyBorder="1"/>
    <xf numFmtId="0" fontId="0" fillId="0" borderId="0" xfId="0" applyFill="1" applyBorder="1"/>
    <xf numFmtId="0" fontId="0" fillId="4" borderId="10" xfId="0" applyFill="1" applyBorder="1" applyProtection="1">
      <protection locked="0"/>
    </xf>
    <xf numFmtId="164" fontId="0" fillId="4" borderId="12" xfId="0" applyNumberFormat="1" applyFill="1" applyBorder="1" applyProtection="1">
      <protection locked="0"/>
    </xf>
    <xf numFmtId="10" fontId="0" fillId="0" borderId="0" xfId="1" applyNumberFormat="1" applyFont="1" applyFill="1"/>
    <xf numFmtId="164" fontId="0" fillId="4" borderId="9" xfId="0" applyNumberFormat="1" applyFill="1" applyBorder="1" applyProtection="1">
      <protection locked="0"/>
    </xf>
    <xf numFmtId="0" fontId="0" fillId="2" borderId="5" xfId="0" applyFill="1" applyBorder="1"/>
    <xf numFmtId="0" fontId="0" fillId="2" borderId="8" xfId="0" applyFill="1" applyBorder="1"/>
    <xf numFmtId="0" fontId="0" fillId="0" borderId="7" xfId="0" applyFill="1" applyBorder="1"/>
    <xf numFmtId="0" fontId="0" fillId="4" borderId="6" xfId="0" applyFill="1" applyBorder="1" applyProtection="1">
      <protection locked="0"/>
    </xf>
    <xf numFmtId="0" fontId="0" fillId="4" borderId="1" xfId="0" applyFill="1" applyBorder="1" applyProtection="1">
      <protection locked="0"/>
    </xf>
    <xf numFmtId="14" fontId="0" fillId="4" borderId="3" xfId="0" applyNumberFormat="1" applyFill="1" applyBorder="1" applyProtection="1">
      <protection locked="0"/>
    </xf>
    <xf numFmtId="14" fontId="0" fillId="4" borderId="8" xfId="0" applyNumberFormat="1" applyFill="1" applyBorder="1" applyProtection="1">
      <protection locked="0"/>
    </xf>
    <xf numFmtId="0" fontId="0" fillId="0" borderId="0" xfId="0" applyBorder="1" applyAlignment="1">
      <alignment horizontal="right"/>
    </xf>
    <xf numFmtId="0" fontId="0" fillId="0" borderId="0" xfId="0" applyFill="1" applyBorder="1"/>
    <xf numFmtId="164" fontId="0" fillId="4" borderId="14" xfId="0" applyNumberFormat="1" applyFill="1" applyBorder="1" applyAlignment="1" applyProtection="1">
      <alignment horizontal="right"/>
      <protection locked="0"/>
    </xf>
    <xf numFmtId="164" fontId="0" fillId="4" borderId="3" xfId="0" applyNumberFormat="1" applyFill="1" applyBorder="1" applyProtection="1">
      <protection locked="0"/>
    </xf>
    <xf numFmtId="164" fontId="0" fillId="4" borderId="1" xfId="0" applyNumberFormat="1" applyFill="1" applyBorder="1" applyProtection="1">
      <protection locked="0"/>
    </xf>
    <xf numFmtId="0" fontId="0" fillId="4" borderId="11" xfId="0" applyFill="1" applyBorder="1" applyProtection="1">
      <protection locked="0"/>
    </xf>
    <xf numFmtId="0" fontId="0" fillId="0" borderId="0" xfId="0" applyAlignment="1"/>
    <xf numFmtId="0" fontId="0" fillId="0" borderId="2" xfId="0" applyBorder="1" applyAlignment="1">
      <alignment horizontal="right"/>
    </xf>
    <xf numFmtId="0" fontId="0" fillId="0" borderId="3" xfId="0" applyBorder="1" applyAlignment="1">
      <alignment horizontal="right"/>
    </xf>
    <xf numFmtId="169" fontId="0" fillId="0" borderId="1" xfId="0" applyNumberFormat="1" applyBorder="1" applyAlignment="1">
      <alignment horizontal="right"/>
    </xf>
    <xf numFmtId="169" fontId="0" fillId="0" borderId="2" xfId="0" applyNumberFormat="1" applyBorder="1"/>
    <xf numFmtId="169" fontId="0" fillId="0" borderId="4" xfId="0" applyNumberFormat="1" applyBorder="1" applyAlignment="1">
      <alignment horizontal="right"/>
    </xf>
    <xf numFmtId="169" fontId="0" fillId="0" borderId="0" xfId="0" applyNumberFormat="1" applyBorder="1"/>
    <xf numFmtId="0" fontId="0" fillId="0" borderId="5" xfId="0" applyBorder="1" applyAlignment="1">
      <alignment horizontal="center"/>
    </xf>
    <xf numFmtId="171" fontId="0" fillId="2" borderId="4" xfId="0" applyNumberFormat="1" applyFill="1" applyBorder="1" applyAlignment="1">
      <alignment horizontal="right"/>
    </xf>
    <xf numFmtId="171" fontId="0" fillId="2" borderId="0" xfId="0" applyNumberFormat="1" applyFill="1" applyBorder="1"/>
    <xf numFmtId="171" fontId="0" fillId="0" borderId="4" xfId="0" applyNumberFormat="1" applyBorder="1"/>
    <xf numFmtId="171" fontId="0" fillId="0" borderId="6" xfId="0" applyNumberFormat="1" applyBorder="1"/>
    <xf numFmtId="171" fontId="0" fillId="0" borderId="7" xfId="0" applyNumberFormat="1" applyBorder="1"/>
    <xf numFmtId="10" fontId="0" fillId="2" borderId="0" xfId="1" applyNumberFormat="1" applyFont="1" applyFill="1" applyBorder="1"/>
    <xf numFmtId="8" fontId="0" fillId="0" borderId="5" xfId="0" applyNumberFormat="1" applyBorder="1"/>
    <xf numFmtId="0" fontId="0" fillId="0" borderId="0" xfId="0" applyAlignment="1">
      <alignment horizontal="center"/>
    </xf>
    <xf numFmtId="0" fontId="0" fillId="0" borderId="7" xfId="0" applyFill="1" applyBorder="1" applyProtection="1">
      <protection locked="0"/>
    </xf>
    <xf numFmtId="0" fontId="0" fillId="2" borderId="8" xfId="0" applyFill="1" applyBorder="1" applyProtection="1">
      <protection locked="0"/>
    </xf>
    <xf numFmtId="0" fontId="0" fillId="0" borderId="0" xfId="0" applyAlignment="1">
      <alignment horizontal="center"/>
    </xf>
    <xf numFmtId="9" fontId="0" fillId="2" borderId="5" xfId="1" applyFont="1" applyFill="1" applyBorder="1" applyProtection="1">
      <protection locked="0"/>
    </xf>
    <xf numFmtId="9" fontId="0" fillId="2" borderId="8" xfId="1" applyFont="1" applyFill="1" applyBorder="1" applyProtection="1">
      <protection locked="0"/>
    </xf>
    <xf numFmtId="172" fontId="0" fillId="0" borderId="0" xfId="0" applyNumberFormat="1" applyBorder="1"/>
    <xf numFmtId="43" fontId="0" fillId="0" borderId="0" xfId="2" applyFont="1" applyBorder="1"/>
    <xf numFmtId="43" fontId="0" fillId="0" borderId="5" xfId="2" applyFont="1" applyBorder="1"/>
    <xf numFmtId="43" fontId="0" fillId="0" borderId="4" xfId="2" applyFont="1" applyBorder="1"/>
    <xf numFmtId="43" fontId="0" fillId="0" borderId="5" xfId="2" applyFont="1" applyBorder="1" applyAlignment="1">
      <alignment horizontal="right"/>
    </xf>
    <xf numFmtId="43" fontId="0" fillId="0" borderId="7" xfId="2" applyFont="1" applyBorder="1"/>
    <xf numFmtId="43" fontId="0" fillId="0" borderId="8" xfId="2" applyFont="1" applyBorder="1"/>
    <xf numFmtId="43" fontId="0" fillId="0" borderId="6" xfId="2" applyFont="1" applyBorder="1"/>
    <xf numFmtId="167" fontId="0" fillId="0" borderId="0" xfId="2" applyNumberFormat="1" applyFont="1" applyBorder="1"/>
    <xf numFmtId="0" fontId="0" fillId="0" borderId="0" xfId="0" applyAlignment="1">
      <alignment horizontal="center"/>
    </xf>
    <xf numFmtId="6" fontId="0" fillId="0" borderId="4" xfId="0" applyNumberFormat="1" applyFill="1" applyBorder="1" applyProtection="1">
      <protection locked="0"/>
    </xf>
    <xf numFmtId="10" fontId="0" fillId="0" borderId="0" xfId="1" applyNumberFormat="1" applyFont="1" applyFill="1" applyBorder="1"/>
    <xf numFmtId="165" fontId="0" fillId="2" borderId="0" xfId="1" applyNumberFormat="1" applyFont="1" applyFill="1" applyBorder="1"/>
    <xf numFmtId="164" fontId="0" fillId="2" borderId="0" xfId="0" applyNumberFormat="1" applyFill="1" applyBorder="1" applyAlignment="1" applyProtection="1">
      <alignment horizontal="center"/>
      <protection locked="0"/>
    </xf>
    <xf numFmtId="164" fontId="0" fillId="2" borderId="7" xfId="0" applyNumberFormat="1" applyFill="1" applyBorder="1" applyAlignment="1" applyProtection="1">
      <alignment horizontal="center"/>
      <protection locked="0"/>
    </xf>
    <xf numFmtId="0" fontId="0" fillId="0" borderId="3" xfId="0" applyFill="1" applyBorder="1" applyAlignment="1">
      <alignment horizontal="right"/>
    </xf>
    <xf numFmtId="0" fontId="0" fillId="0" borderId="2" xfId="0" applyBorder="1" applyAlignment="1">
      <alignment horizontal="right"/>
    </xf>
    <xf numFmtId="0" fontId="0" fillId="0" borderId="0" xfId="0" applyAlignment="1">
      <alignment horizontal="center"/>
    </xf>
    <xf numFmtId="0" fontId="5" fillId="0" borderId="2" xfId="0" applyFont="1" applyBorder="1"/>
    <xf numFmtId="0" fontId="0" fillId="0" borderId="7" xfId="0" applyBorder="1" applyAlignment="1">
      <alignment horizontal="right"/>
    </xf>
    <xf numFmtId="0" fontId="0" fillId="0" borderId="16" xfId="0" applyFill="1" applyBorder="1"/>
    <xf numFmtId="9" fontId="0" fillId="2" borderId="0" xfId="1" applyFont="1" applyFill="1" applyBorder="1" applyProtection="1">
      <protection locked="0"/>
    </xf>
    <xf numFmtId="164" fontId="20" fillId="2" borderId="0" xfId="0" applyNumberFormat="1" applyFont="1" applyFill="1" applyBorder="1" applyProtection="1">
      <protection locked="0"/>
    </xf>
    <xf numFmtId="9" fontId="20" fillId="2" borderId="0" xfId="1" applyFont="1" applyFill="1" applyBorder="1" applyProtection="1">
      <protection locked="0"/>
    </xf>
    <xf numFmtId="9" fontId="0" fillId="2" borderId="7" xfId="1" applyFont="1" applyFill="1" applyBorder="1" applyProtection="1">
      <protection locked="0"/>
    </xf>
    <xf numFmtId="9" fontId="20" fillId="2" borderId="0" xfId="0" applyNumberFormat="1" applyFont="1" applyFill="1" applyBorder="1" applyProtection="1">
      <protection locked="0"/>
    </xf>
    <xf numFmtId="0" fontId="0" fillId="2" borderId="0" xfId="0" applyFill="1" applyBorder="1" applyAlignment="1"/>
    <xf numFmtId="0" fontId="0" fillId="2" borderId="0" xfId="0" applyFill="1" applyAlignment="1"/>
    <xf numFmtId="0" fontId="0" fillId="0" borderId="0" xfId="0" applyBorder="1" applyAlignment="1">
      <alignment horizontal="center"/>
    </xf>
    <xf numFmtId="0" fontId="0" fillId="0" borderId="13" xfId="0" applyBorder="1"/>
    <xf numFmtId="10" fontId="0" fillId="2" borderId="14" xfId="0" applyNumberFormat="1" applyFill="1" applyBorder="1"/>
    <xf numFmtId="0" fontId="8" fillId="0" borderId="0" xfId="0" applyFont="1" applyFill="1"/>
    <xf numFmtId="0" fontId="7" fillId="0" borderId="0" xfId="0" applyFont="1" applyFill="1"/>
    <xf numFmtId="0" fontId="0" fillId="0" borderId="0" xfId="0" applyProtection="1">
      <protection locked="0" hidden="1"/>
    </xf>
    <xf numFmtId="0" fontId="0" fillId="0" borderId="0" xfId="0" applyAlignment="1" applyProtection="1">
      <alignment horizontal="right"/>
      <protection locked="0" hidden="1"/>
    </xf>
    <xf numFmtId="0" fontId="17" fillId="0" borderId="0" xfId="0" applyFont="1" applyProtection="1">
      <protection locked="0" hidden="1"/>
    </xf>
    <xf numFmtId="0" fontId="17" fillId="0" borderId="0" xfId="0" applyFont="1" applyAlignment="1" applyProtection="1">
      <alignment horizontal="left" vertical="center"/>
      <protection locked="0" hidden="1"/>
    </xf>
    <xf numFmtId="0" fontId="0" fillId="0" borderId="0" xfId="0" applyFont="1" applyProtection="1">
      <protection locked="0" hidden="1"/>
    </xf>
    <xf numFmtId="164" fontId="0" fillId="0" borderId="0" xfId="0" applyNumberFormat="1" applyAlignment="1" applyProtection="1">
      <alignment horizontal="right"/>
      <protection locked="0" hidden="1"/>
    </xf>
    <xf numFmtId="0" fontId="7" fillId="0" borderId="0" xfId="0" applyFont="1" applyProtection="1">
      <protection locked="0" hidden="1"/>
    </xf>
    <xf numFmtId="0" fontId="0" fillId="0" borderId="0" xfId="0" applyAlignment="1" applyProtection="1">
      <alignment horizontal="center" vertical="top" wrapText="1"/>
      <protection locked="0" hidden="1"/>
    </xf>
    <xf numFmtId="0" fontId="0" fillId="0" borderId="0" xfId="0" applyProtection="1"/>
    <xf numFmtId="10" fontId="4" fillId="0" borderId="0" xfId="1" applyNumberFormat="1" applyFont="1" applyProtection="1"/>
    <xf numFmtId="165" fontId="4" fillId="0" borderId="0" xfId="1" applyNumberFormat="1" applyFont="1" applyProtection="1"/>
    <xf numFmtId="0" fontId="17" fillId="0" borderId="0" xfId="0" applyFont="1" applyProtection="1"/>
    <xf numFmtId="10" fontId="4" fillId="0" borderId="0" xfId="1" applyNumberFormat="1" applyFont="1" applyAlignment="1" applyProtection="1">
      <alignment horizontal="left" indent="1"/>
    </xf>
    <xf numFmtId="165" fontId="4" fillId="0" borderId="0" xfId="1" applyNumberFormat="1" applyFont="1" applyAlignment="1" applyProtection="1">
      <alignment horizontal="left" indent="1"/>
    </xf>
    <xf numFmtId="0" fontId="0" fillId="0" borderId="0" xfId="0" applyAlignment="1" applyProtection="1"/>
    <xf numFmtId="164" fontId="0" fillId="0" borderId="0" xfId="0" applyNumberFormat="1" applyFill="1" applyAlignment="1" applyProtection="1">
      <alignment horizontal="right"/>
    </xf>
    <xf numFmtId="164" fontId="0" fillId="0" borderId="0" xfId="0" applyNumberFormat="1" applyFill="1" applyProtection="1"/>
    <xf numFmtId="0" fontId="0" fillId="0" borderId="0" xfId="0" applyFill="1" applyAlignment="1" applyProtection="1"/>
    <xf numFmtId="0" fontId="21" fillId="0" borderId="0" xfId="0" applyFont="1" applyFill="1" applyProtection="1"/>
    <xf numFmtId="10" fontId="22" fillId="0" borderId="0" xfId="1" applyNumberFormat="1" applyFont="1" applyFill="1" applyProtection="1"/>
    <xf numFmtId="165" fontId="22" fillId="0" borderId="0" xfId="1" applyNumberFormat="1" applyFont="1" applyFill="1" applyProtection="1"/>
    <xf numFmtId="0" fontId="0" fillId="0" borderId="0" xfId="0" applyAlignment="1" applyProtection="1">
      <alignment vertical="center"/>
    </xf>
    <xf numFmtId="0" fontId="22" fillId="0" borderId="0" xfId="0" applyFont="1" applyProtection="1"/>
    <xf numFmtId="0" fontId="21" fillId="0" borderId="0" xfId="0" applyFont="1" applyProtection="1"/>
    <xf numFmtId="10" fontId="4" fillId="0" borderId="0" xfId="1" applyNumberFormat="1" applyFont="1" applyFill="1" applyProtection="1"/>
    <xf numFmtId="165" fontId="4" fillId="0" borderId="0" xfId="1" applyNumberFormat="1" applyFont="1" applyFill="1" applyProtection="1"/>
    <xf numFmtId="0" fontId="0" fillId="0" borderId="1" xfId="0" applyBorder="1" applyProtection="1"/>
    <xf numFmtId="0" fontId="0" fillId="0" borderId="2" xfId="0" applyBorder="1" applyProtection="1"/>
    <xf numFmtId="0" fontId="0" fillId="0" borderId="2" xfId="0" applyBorder="1" applyAlignment="1" applyProtection="1">
      <alignment horizontal="right"/>
    </xf>
    <xf numFmtId="0" fontId="0" fillId="0" borderId="4" xfId="0" applyBorder="1" applyProtection="1"/>
    <xf numFmtId="10" fontId="0" fillId="0" borderId="0" xfId="0" applyNumberFormat="1" applyBorder="1" applyProtection="1"/>
    <xf numFmtId="165" fontId="0" fillId="0" borderId="0" xfId="0" applyNumberFormat="1" applyBorder="1" applyProtection="1"/>
    <xf numFmtId="164" fontId="0" fillId="0" borderId="0" xfId="0" applyNumberFormat="1" applyBorder="1" applyProtection="1"/>
    <xf numFmtId="0" fontId="0" fillId="0" borderId="6" xfId="0" applyBorder="1" applyProtection="1"/>
    <xf numFmtId="10" fontId="0" fillId="0" borderId="7" xfId="0" applyNumberFormat="1" applyBorder="1" applyProtection="1"/>
    <xf numFmtId="165" fontId="0" fillId="0" borderId="7" xfId="0" applyNumberFormat="1" applyBorder="1" applyProtection="1"/>
    <xf numFmtId="164" fontId="0" fillId="0" borderId="7" xfId="0" applyNumberFormat="1" applyBorder="1" applyProtection="1"/>
    <xf numFmtId="0" fontId="0" fillId="0" borderId="0" xfId="0" applyBorder="1" applyProtection="1"/>
    <xf numFmtId="164" fontId="0" fillId="0" borderId="0" xfId="0" applyNumberFormat="1" applyBorder="1" applyAlignment="1" applyProtection="1">
      <alignment horizontal="right"/>
    </xf>
    <xf numFmtId="0" fontId="0" fillId="0" borderId="13" xfId="0" applyBorder="1" applyProtection="1"/>
    <xf numFmtId="10" fontId="0" fillId="0" borderId="16" xfId="0" applyNumberFormat="1" applyBorder="1" applyProtection="1"/>
    <xf numFmtId="165" fontId="0" fillId="0" borderId="16" xfId="0" applyNumberFormat="1" applyBorder="1" applyProtection="1"/>
    <xf numFmtId="164" fontId="0" fillId="0" borderId="16" xfId="0" applyNumberFormat="1" applyBorder="1" applyProtection="1"/>
    <xf numFmtId="164" fontId="0" fillId="0" borderId="16" xfId="0" applyNumberFormat="1" applyBorder="1" applyAlignment="1" applyProtection="1">
      <alignment horizontal="right"/>
    </xf>
    <xf numFmtId="164" fontId="0" fillId="0" borderId="14" xfId="0" applyNumberFormat="1" applyBorder="1" applyAlignment="1" applyProtection="1">
      <alignment horizontal="right"/>
    </xf>
    <xf numFmtId="164" fontId="0" fillId="0" borderId="0" xfId="0" applyNumberFormat="1" applyProtection="1"/>
    <xf numFmtId="0" fontId="18" fillId="0" borderId="0" xfId="0" applyFont="1" applyProtection="1"/>
    <xf numFmtId="0" fontId="9" fillId="0" borderId="0" xfId="0" applyFont="1" applyBorder="1" applyAlignment="1" applyProtection="1">
      <alignment horizontal="center" vertical="center"/>
    </xf>
    <xf numFmtId="0" fontId="0" fillId="0" borderId="0" xfId="0" applyAlignment="1" applyProtection="1">
      <alignment horizontal="right"/>
    </xf>
    <xf numFmtId="9" fontId="0" fillId="0" borderId="0" xfId="0" applyNumberFormat="1" applyAlignment="1" applyProtection="1">
      <alignment horizontal="left"/>
    </xf>
    <xf numFmtId="0" fontId="0" fillId="0" borderId="0" xfId="0" applyAlignment="1" applyProtection="1">
      <alignment horizontal="left"/>
    </xf>
    <xf numFmtId="164" fontId="21" fillId="0" borderId="0" xfId="0" applyNumberFormat="1" applyFont="1" applyProtection="1"/>
    <xf numFmtId="0" fontId="0" fillId="0" borderId="0" xfId="0" applyFill="1" applyBorder="1" applyProtection="1"/>
    <xf numFmtId="0" fontId="0" fillId="0" borderId="0" xfId="0" applyFill="1" applyAlignment="1" applyProtection="1">
      <alignment horizontal="right"/>
    </xf>
    <xf numFmtId="0" fontId="18" fillId="0" borderId="0" xfId="0" applyFont="1" applyAlignment="1" applyProtection="1">
      <alignment horizontal="right"/>
    </xf>
    <xf numFmtId="0" fontId="0" fillId="0" borderId="0" xfId="0" applyAlignment="1" applyProtection="1">
      <alignment horizontal="right" indent="1"/>
    </xf>
    <xf numFmtId="0" fontId="6" fillId="0" borderId="0" xfId="0" applyFont="1" applyProtection="1"/>
    <xf numFmtId="0" fontId="17" fillId="0" borderId="0" xfId="0" applyFont="1" applyAlignment="1" applyProtection="1">
      <alignment vertical="center"/>
    </xf>
    <xf numFmtId="15" fontId="10" fillId="0" borderId="15" xfId="0" applyNumberFormat="1" applyFont="1" applyFill="1" applyBorder="1" applyAlignment="1" applyProtection="1">
      <alignment horizontal="center"/>
    </xf>
    <xf numFmtId="164" fontId="0" fillId="2" borderId="10" xfId="0" applyNumberFormat="1" applyFill="1" applyBorder="1" applyProtection="1"/>
    <xf numFmtId="164" fontId="0" fillId="2" borderId="11" xfId="0" applyNumberFormat="1" applyFill="1" applyBorder="1" applyProtection="1"/>
    <xf numFmtId="164" fontId="0" fillId="2" borderId="13" xfId="0" applyNumberFormat="1" applyFill="1" applyBorder="1" applyAlignment="1" applyProtection="1"/>
    <xf numFmtId="164" fontId="0" fillId="2" borderId="16" xfId="0" applyNumberFormat="1" applyFill="1" applyBorder="1" applyAlignment="1" applyProtection="1"/>
    <xf numFmtId="164" fontId="0" fillId="2" borderId="17" xfId="0" applyNumberFormat="1" applyFill="1" applyBorder="1" applyAlignment="1" applyProtection="1"/>
    <xf numFmtId="164" fontId="0" fillId="2" borderId="18" xfId="0" applyNumberFormat="1" applyFill="1" applyBorder="1" applyProtection="1"/>
    <xf numFmtId="0" fontId="0" fillId="0" borderId="0" xfId="0" applyAlignment="1" applyProtection="1">
      <alignment wrapText="1"/>
    </xf>
    <xf numFmtId="0" fontId="23" fillId="0" borderId="0" xfId="0" applyFont="1" applyAlignment="1" applyProtection="1">
      <alignment vertical="center"/>
      <protection locked="0" hidden="1"/>
    </xf>
    <xf numFmtId="0" fontId="0" fillId="2" borderId="0" xfId="0" applyFill="1"/>
    <xf numFmtId="0" fontId="18" fillId="0" borderId="0" xfId="0" applyFont="1"/>
    <xf numFmtId="0" fontId="0" fillId="0" borderId="0" xfId="0" applyFill="1" applyBorder="1" applyAlignment="1">
      <alignment horizontal="center"/>
    </xf>
    <xf numFmtId="0" fontId="0" fillId="0" borderId="5" xfId="0" applyFill="1" applyBorder="1" applyAlignment="1">
      <alignment horizontal="center"/>
    </xf>
    <xf numFmtId="0" fontId="0" fillId="0" borderId="7" xfId="0" applyFill="1" applyBorder="1" applyAlignment="1">
      <alignment horizontal="center"/>
    </xf>
    <xf numFmtId="0" fontId="0" fillId="0" borderId="8" xfId="0" applyFill="1" applyBorder="1" applyAlignment="1">
      <alignment horizontal="center"/>
    </xf>
    <xf numFmtId="167" fontId="0" fillId="0" borderId="0" xfId="0" applyNumberFormat="1"/>
    <xf numFmtId="0" fontId="0" fillId="2" borderId="5" xfId="0" applyFill="1" applyBorder="1" applyAlignment="1" applyProtection="1">
      <alignment horizontal="center"/>
      <protection locked="0"/>
    </xf>
    <xf numFmtId="0" fontId="0" fillId="0" borderId="2" xfId="0" applyFill="1" applyBorder="1" applyAlignment="1">
      <alignment horizontal="right"/>
    </xf>
    <xf numFmtId="0" fontId="0" fillId="0" borderId="0" xfId="0" applyAlignment="1" applyProtection="1">
      <alignment horizontal="right"/>
      <protection hidden="1"/>
    </xf>
    <xf numFmtId="0" fontId="0" fillId="2" borderId="4" xfId="0" applyFont="1" applyFill="1" applyBorder="1" applyProtection="1">
      <protection locked="0"/>
    </xf>
    <xf numFmtId="10" fontId="0" fillId="2" borderId="0" xfId="0" applyNumberFormat="1" applyFont="1" applyFill="1" applyBorder="1" applyProtection="1">
      <protection locked="0"/>
    </xf>
    <xf numFmtId="165" fontId="0" fillId="2" borderId="0" xfId="0" applyNumberFormat="1" applyFont="1" applyFill="1" applyBorder="1" applyProtection="1">
      <protection locked="0"/>
    </xf>
    <xf numFmtId="170" fontId="0" fillId="2" borderId="0" xfId="0" applyNumberFormat="1" applyFont="1" applyFill="1" applyBorder="1" applyProtection="1">
      <protection locked="0"/>
    </xf>
    <xf numFmtId="9" fontId="0" fillId="2" borderId="0" xfId="0" applyNumberFormat="1" applyFont="1" applyFill="1" applyBorder="1" applyProtection="1">
      <protection locked="0"/>
    </xf>
    <xf numFmtId="0" fontId="0" fillId="2" borderId="0" xfId="0" applyFont="1" applyFill="1" applyBorder="1" applyAlignment="1" applyProtection="1">
      <alignment horizontal="center"/>
      <protection locked="0"/>
    </xf>
    <xf numFmtId="164" fontId="0" fillId="2" borderId="0" xfId="0" applyNumberFormat="1" applyFont="1" applyFill="1" applyBorder="1" applyProtection="1">
      <protection locked="0"/>
    </xf>
    <xf numFmtId="164" fontId="0" fillId="2" borderId="0" xfId="0" applyNumberFormat="1" applyFont="1" applyFill="1" applyBorder="1" applyAlignment="1" applyProtection="1">
      <alignment horizontal="center"/>
      <protection locked="0"/>
    </xf>
    <xf numFmtId="10" fontId="0" fillId="2" borderId="0" xfId="0" applyNumberFormat="1" applyFont="1" applyFill="1" applyBorder="1"/>
    <xf numFmtId="0" fontId="0" fillId="2" borderId="5" xfId="0" applyFont="1" applyFill="1" applyBorder="1" applyAlignment="1" applyProtection="1">
      <alignment horizontal="center"/>
      <protection locked="0"/>
    </xf>
    <xf numFmtId="0" fontId="0" fillId="0" borderId="0" xfId="0" applyAlignment="1" applyProtection="1">
      <alignment horizontal="left"/>
      <protection locked="0" hidden="1"/>
    </xf>
    <xf numFmtId="164" fontId="0" fillId="0" borderId="0" xfId="0" applyNumberFormat="1" applyAlignment="1" applyProtection="1">
      <alignment horizontal="right"/>
      <protection locked="0" hidden="1"/>
    </xf>
    <xf numFmtId="0" fontId="0" fillId="4" borderId="7" xfId="0" applyFill="1" applyBorder="1" applyAlignment="1" applyProtection="1">
      <alignment horizontal="left"/>
      <protection locked="0"/>
    </xf>
    <xf numFmtId="0" fontId="0" fillId="0" borderId="0" xfId="0" applyAlignment="1" applyProtection="1">
      <alignment horizontal="center" wrapText="1"/>
    </xf>
    <xf numFmtId="164" fontId="0" fillId="2" borderId="13" xfId="0" applyNumberFormat="1" applyFill="1" applyBorder="1" applyAlignment="1" applyProtection="1">
      <alignment horizontal="center"/>
    </xf>
    <xf numFmtId="164" fontId="0" fillId="2" borderId="16" xfId="0" applyNumberFormat="1" applyFill="1" applyBorder="1" applyAlignment="1" applyProtection="1">
      <alignment horizontal="center"/>
    </xf>
    <xf numFmtId="164" fontId="0" fillId="2" borderId="17" xfId="0" applyNumberFormat="1" applyFill="1" applyBorder="1" applyAlignment="1" applyProtection="1">
      <alignment horizontal="center"/>
    </xf>
    <xf numFmtId="0" fontId="0" fillId="0" borderId="1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24" xfId="0" applyBorder="1" applyAlignment="1" applyProtection="1">
      <alignment horizontal="left" vertical="center" wrapText="1"/>
    </xf>
    <xf numFmtId="0" fontId="0" fillId="0" borderId="25" xfId="0" applyBorder="1" applyAlignment="1" applyProtection="1">
      <alignment horizontal="left" vertical="center" wrapText="1"/>
    </xf>
    <xf numFmtId="164" fontId="0" fillId="2" borderId="20" xfId="0" applyNumberFormat="1" applyFill="1" applyBorder="1" applyAlignment="1" applyProtection="1">
      <alignment horizontal="center"/>
    </xf>
    <xf numFmtId="164" fontId="0" fillId="2" borderId="21" xfId="0" applyNumberFormat="1" applyFill="1" applyBorder="1" applyAlignment="1" applyProtection="1">
      <alignment horizontal="center"/>
    </xf>
    <xf numFmtId="164" fontId="0" fillId="2" borderId="22" xfId="0" applyNumberFormat="1" applyFill="1" applyBorder="1" applyAlignment="1" applyProtection="1">
      <alignment horizontal="center"/>
    </xf>
    <xf numFmtId="0" fontId="0" fillId="4" borderId="1" xfId="0" applyFill="1" applyBorder="1" applyAlignment="1" applyProtection="1">
      <alignment horizontal="left"/>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4" borderId="6" xfId="0" applyFill="1" applyBorder="1" applyAlignment="1" applyProtection="1">
      <alignment horizontal="left"/>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164" fontId="0" fillId="0" borderId="0" xfId="0" applyNumberFormat="1" applyAlignment="1" applyProtection="1"/>
    <xf numFmtId="0" fontId="0" fillId="0" borderId="0" xfId="0" applyAlignment="1" applyProtection="1"/>
    <xf numFmtId="0" fontId="0" fillId="4" borderId="1" xfId="0" applyFill="1" applyBorder="1" applyAlignment="1" applyProtection="1">
      <protection locked="0"/>
    </xf>
    <xf numFmtId="0" fontId="0" fillId="4" borderId="2" xfId="0" applyFill="1" applyBorder="1" applyAlignment="1" applyProtection="1">
      <protection locked="0"/>
    </xf>
    <xf numFmtId="0" fontId="0" fillId="4" borderId="4" xfId="0" applyFill="1" applyBorder="1" applyAlignment="1" applyProtection="1">
      <protection locked="0"/>
    </xf>
    <xf numFmtId="0" fontId="0" fillId="4" borderId="0" xfId="0" applyFill="1" applyBorder="1" applyAlignment="1" applyProtection="1">
      <protection locked="0"/>
    </xf>
    <xf numFmtId="0" fontId="0" fillId="4" borderId="6" xfId="0" applyFill="1" applyBorder="1" applyAlignment="1" applyProtection="1">
      <protection locked="0"/>
    </xf>
    <xf numFmtId="0" fontId="0" fillId="4" borderId="7" xfId="0" applyFill="1" applyBorder="1" applyAlignment="1" applyProtection="1">
      <protection locked="0"/>
    </xf>
    <xf numFmtId="164" fontId="0" fillId="4" borderId="0" xfId="0" applyNumberFormat="1" applyFill="1" applyBorder="1" applyAlignment="1" applyProtection="1">
      <protection locked="0"/>
    </xf>
    <xf numFmtId="164" fontId="0" fillId="4" borderId="7" xfId="0" applyNumberFormat="1" applyFill="1" applyBorder="1" applyAlignment="1" applyProtection="1">
      <protection locked="0"/>
    </xf>
    <xf numFmtId="164" fontId="0" fillId="4" borderId="2" xfId="0" applyNumberFormat="1" applyFill="1" applyBorder="1" applyAlignment="1" applyProtection="1">
      <protection locked="0"/>
    </xf>
    <xf numFmtId="0" fontId="0" fillId="0" borderId="0" xfId="0" applyAlignment="1" applyProtection="1">
      <protection locked="0" hidden="1"/>
    </xf>
    <xf numFmtId="0" fontId="0" fillId="4" borderId="2" xfId="0" applyFill="1" applyBorder="1" applyAlignment="1" applyProtection="1">
      <alignment horizontal="left"/>
      <protection locked="0"/>
    </xf>
    <xf numFmtId="0" fontId="0" fillId="0" borderId="2" xfId="0" applyBorder="1" applyAlignment="1" applyProtection="1">
      <alignment horizontal="right"/>
    </xf>
    <xf numFmtId="0" fontId="0" fillId="0" borderId="3" xfId="0" applyBorder="1" applyAlignment="1" applyProtection="1">
      <alignment horizontal="right"/>
    </xf>
    <xf numFmtId="164" fontId="0" fillId="0" borderId="0" xfId="0" applyNumberFormat="1" applyBorder="1" applyAlignment="1" applyProtection="1">
      <alignment horizontal="right"/>
    </xf>
    <xf numFmtId="164" fontId="0" fillId="0" borderId="5" xfId="0" applyNumberFormat="1" applyBorder="1" applyAlignment="1" applyProtection="1">
      <alignment horizontal="right"/>
    </xf>
    <xf numFmtId="0" fontId="5" fillId="0" borderId="29" xfId="0" applyFont="1" applyFill="1" applyBorder="1" applyAlignment="1" applyProtection="1">
      <alignment horizontal="left" vertical="center"/>
    </xf>
    <xf numFmtId="0" fontId="5" fillId="0" borderId="30" xfId="0" applyFont="1" applyFill="1" applyBorder="1" applyAlignment="1" applyProtection="1">
      <alignment horizontal="left" vertical="center"/>
    </xf>
    <xf numFmtId="0" fontId="5" fillId="0" borderId="31" xfId="0" applyFont="1" applyFill="1" applyBorder="1" applyAlignment="1" applyProtection="1">
      <alignment horizontal="left" vertical="center"/>
    </xf>
    <xf numFmtId="164" fontId="0" fillId="2" borderId="26" xfId="0" applyNumberFormat="1" applyFill="1" applyBorder="1" applyAlignment="1" applyProtection="1">
      <alignment horizontal="center"/>
    </xf>
    <xf numFmtId="164" fontId="0" fillId="2" borderId="27" xfId="0" applyNumberFormat="1" applyFill="1" applyBorder="1" applyAlignment="1" applyProtection="1">
      <alignment horizontal="center"/>
    </xf>
    <xf numFmtId="164" fontId="0" fillId="2" borderId="28" xfId="0" applyNumberFormat="1" applyFill="1" applyBorder="1" applyAlignment="1" applyProtection="1">
      <alignment horizontal="center"/>
    </xf>
    <xf numFmtId="164" fontId="0" fillId="0" borderId="7" xfId="0" applyNumberFormat="1" applyBorder="1" applyAlignment="1" applyProtection="1">
      <alignment horizontal="right"/>
    </xf>
    <xf numFmtId="164" fontId="0" fillId="0" borderId="8" xfId="0" applyNumberFormat="1" applyBorder="1" applyAlignment="1" applyProtection="1">
      <alignment horizontal="right"/>
    </xf>
    <xf numFmtId="0" fontId="5" fillId="0" borderId="23" xfId="0" applyFont="1" applyFill="1" applyBorder="1" applyAlignment="1" applyProtection="1">
      <alignment horizontal="left" vertical="center"/>
    </xf>
    <xf numFmtId="0" fontId="5" fillId="0" borderId="15" xfId="0" applyFont="1" applyFill="1" applyBorder="1" applyAlignment="1" applyProtection="1">
      <alignment horizontal="left" vertical="center"/>
    </xf>
    <xf numFmtId="0" fontId="0" fillId="0" borderId="0" xfId="0" applyAlignment="1">
      <alignment horizontal="center"/>
    </xf>
    <xf numFmtId="0" fontId="0" fillId="0" borderId="0" xfId="0" applyBorder="1" applyAlignment="1">
      <alignment horizontal="center"/>
    </xf>
    <xf numFmtId="0" fontId="0" fillId="0" borderId="2" xfId="0" applyBorder="1" applyAlignment="1">
      <alignment horizontal="center" wrapText="1"/>
    </xf>
    <xf numFmtId="0" fontId="0" fillId="0" borderId="3" xfId="0" applyBorder="1" applyAlignment="1">
      <alignment horizontal="center" wrapText="1"/>
    </xf>
    <xf numFmtId="0" fontId="0" fillId="0" borderId="0" xfId="0" applyAlignment="1">
      <alignment horizontal="center" wrapText="1"/>
    </xf>
  </cellXfs>
  <cellStyles count="3">
    <cellStyle name="Comma" xfId="2" builtinId="3"/>
    <cellStyle name="Normal" xfId="0" builtinId="0"/>
    <cellStyle name="Percent" xfId="1" builtinId="5"/>
  </cellStyles>
  <dxfs count="8">
    <dxf>
      <font>
        <condense val="0"/>
        <extend val="0"/>
        <color rgb="FF006100"/>
      </font>
      <fill>
        <patternFill>
          <bgColor rgb="FFC6EFCE"/>
        </patternFill>
      </fill>
    </dxf>
    <dxf>
      <font>
        <condense val="0"/>
        <extend val="0"/>
        <color rgb="FF9C0006"/>
      </font>
      <fill>
        <patternFill>
          <bgColor rgb="FFFFC7CE"/>
        </patternFill>
      </fill>
    </dxf>
    <dxf>
      <font>
        <b/>
        <i val="0"/>
        <color rgb="FF7030A0"/>
      </font>
    </dxf>
    <dxf>
      <font>
        <b/>
        <i val="0"/>
        <color rgb="FF7030A0"/>
      </font>
    </dxf>
    <dxf>
      <font>
        <b/>
        <i val="0"/>
        <color rgb="FF7030A0"/>
      </font>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47625</xdr:colOff>
      <xdr:row>9</xdr:row>
      <xdr:rowOff>142875</xdr:rowOff>
    </xdr:from>
    <xdr:to>
      <xdr:col>6</xdr:col>
      <xdr:colOff>788671</xdr:colOff>
      <xdr:row>16</xdr:row>
      <xdr:rowOff>64770</xdr:rowOff>
    </xdr:to>
    <xdr:pic>
      <xdr:nvPicPr>
        <xdr:cNvPr id="1026" name="Picture 2" descr="0137 SIL ID_CMYK_w-#2547C53.jpg">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4848225" y="1800225"/>
          <a:ext cx="2162175" cy="12477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209550</xdr:colOff>
      <xdr:row>7</xdr:row>
      <xdr:rowOff>57150</xdr:rowOff>
    </xdr:from>
    <xdr:to>
      <xdr:col>6</xdr:col>
      <xdr:colOff>85725</xdr:colOff>
      <xdr:row>13</xdr:row>
      <xdr:rowOff>161925</xdr:rowOff>
    </xdr:to>
    <xdr:pic>
      <xdr:nvPicPr>
        <xdr:cNvPr id="3074" name="Picture 3" descr="0137 SIL ID_CMYK_w-#2547C53.jpg">
          <a:extLst>
            <a:ext uri="{FF2B5EF4-FFF2-40B4-BE49-F238E27FC236}">
              <a16:creationId xmlns:a16="http://schemas.microsoft.com/office/drawing/2014/main" id="{00000000-0008-0000-0500-0000020C0000}"/>
            </a:ext>
          </a:extLst>
        </xdr:cNvPr>
        <xdr:cNvPicPr>
          <a:picLocks noChangeAspect="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3629025" y="1466850"/>
          <a:ext cx="2162175" cy="1247775"/>
        </a:xfrm>
        <a:prstGeom prst="rect">
          <a:avLst/>
        </a:prstGeom>
        <a:noFill/>
        <a:ln w="9525">
          <a:noFill/>
          <a:miter lim="800000"/>
          <a:headEnd/>
          <a:tailEnd/>
        </a:ln>
      </xdr:spPr>
    </xdr:pic>
    <xdr:clientData/>
  </xdr:twoCellAnchor>
  <xdr:twoCellAnchor>
    <xdr:from>
      <xdr:col>0</xdr:col>
      <xdr:colOff>0</xdr:colOff>
      <xdr:row>22</xdr:row>
      <xdr:rowOff>0</xdr:rowOff>
    </xdr:from>
    <xdr:to>
      <xdr:col>6</xdr:col>
      <xdr:colOff>600075</xdr:colOff>
      <xdr:row>33</xdr:row>
      <xdr:rowOff>180974</xdr:rowOff>
    </xdr:to>
    <xdr:sp macro="" textlink="" fLocksText="0">
      <xdr:nvSpPr>
        <xdr:cNvPr id="3" name="TextBox 2">
          <a:extLst>
            <a:ext uri="{FF2B5EF4-FFF2-40B4-BE49-F238E27FC236}">
              <a16:creationId xmlns:a16="http://schemas.microsoft.com/office/drawing/2014/main" id="{00000000-0008-0000-0500-000003000000}"/>
            </a:ext>
          </a:extLst>
        </xdr:cNvPr>
        <xdr:cNvSpPr txBox="1"/>
      </xdr:nvSpPr>
      <xdr:spPr>
        <a:xfrm>
          <a:off x="0" y="4267200"/>
          <a:ext cx="6305550" cy="2276474"/>
        </a:xfrm>
        <a:prstGeom prst="rect">
          <a:avLst/>
        </a:prstGeom>
        <a:solidFill>
          <a:schemeClr val="accent4">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n-GB" sz="1100"/>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28576</xdr:rowOff>
    </xdr:from>
    <xdr:to>
      <xdr:col>0</xdr:col>
      <xdr:colOff>9896475</xdr:colOff>
      <xdr:row>23</xdr:row>
      <xdr:rowOff>142876</xdr:rowOff>
    </xdr:to>
    <xdr:sp macro="" textlink="">
      <xdr:nvSpPr>
        <xdr:cNvPr id="4" name="Rounded Rectangle 3">
          <a:extLst>
            <a:ext uri="{FF2B5EF4-FFF2-40B4-BE49-F238E27FC236}">
              <a16:creationId xmlns:a16="http://schemas.microsoft.com/office/drawing/2014/main" id="{00000000-0008-0000-0600-000004000000}"/>
            </a:ext>
          </a:extLst>
        </xdr:cNvPr>
        <xdr:cNvSpPr/>
      </xdr:nvSpPr>
      <xdr:spPr>
        <a:xfrm>
          <a:off x="76200" y="28576"/>
          <a:ext cx="9820275" cy="6191250"/>
        </a:xfrm>
        <a:prstGeom prst="roundRect">
          <a:avLst>
            <a:gd name="adj" fmla="val 8655"/>
          </a:avLst>
        </a:prstGeom>
        <a:noFill/>
        <a:ln w="50800">
          <a:solidFill>
            <a:srgbClr val="7C41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0</xdr:col>
      <xdr:colOff>3638550</xdr:colOff>
      <xdr:row>0</xdr:row>
      <xdr:rowOff>161925</xdr:rowOff>
    </xdr:from>
    <xdr:to>
      <xdr:col>0</xdr:col>
      <xdr:colOff>6353175</xdr:colOff>
      <xdr:row>8</xdr:row>
      <xdr:rowOff>200025</xdr:rowOff>
    </xdr:to>
    <xdr:pic>
      <xdr:nvPicPr>
        <xdr:cNvPr id="4098" name="Picture 5" descr="0137 SIL ID_CMYK_w-#2547C53.jpg">
          <a:extLst>
            <a:ext uri="{FF2B5EF4-FFF2-40B4-BE49-F238E27FC236}">
              <a16:creationId xmlns:a16="http://schemas.microsoft.com/office/drawing/2014/main" id="{00000000-0008-0000-0600-000002100000}"/>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3638550" y="161925"/>
          <a:ext cx="2714625" cy="1562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4"/>
  <sheetViews>
    <sheetView showGridLines="0" tabSelected="1" zoomScale="85" zoomScaleNormal="85" workbookViewId="0">
      <selection activeCell="A10" sqref="A10"/>
    </sheetView>
  </sheetViews>
  <sheetFormatPr defaultRowHeight="15" x14ac:dyDescent="0.25"/>
  <cols>
    <col min="1" max="1" width="37.42578125" customWidth="1"/>
    <col min="2" max="2" width="12.7109375" customWidth="1"/>
    <col min="3" max="3" width="13.7109375" bestFit="1" customWidth="1"/>
    <col min="4" max="6" width="10.7109375" customWidth="1"/>
    <col min="7" max="7" width="12.28515625" customWidth="1"/>
    <col min="9" max="9" width="40.42578125" customWidth="1"/>
    <col min="10" max="11" width="11.28515625" customWidth="1"/>
    <col min="12" max="12" width="12.7109375" customWidth="1"/>
    <col min="13" max="13" width="14.28515625" bestFit="1" customWidth="1"/>
  </cols>
  <sheetData>
    <row r="1" spans="1:12" ht="21" x14ac:dyDescent="0.35">
      <c r="A1" s="354" t="s">
        <v>241</v>
      </c>
      <c r="B1" s="306"/>
      <c r="C1" s="306"/>
      <c r="D1" s="306"/>
      <c r="E1" s="306"/>
      <c r="F1" s="352" t="s">
        <v>29</v>
      </c>
      <c r="G1" s="366" t="s">
        <v>322</v>
      </c>
      <c r="H1" s="306"/>
      <c r="I1" s="344" t="s">
        <v>172</v>
      </c>
      <c r="J1" s="353" t="s">
        <v>23</v>
      </c>
      <c r="K1" s="346" t="s">
        <v>182</v>
      </c>
      <c r="L1" s="123"/>
    </row>
    <row r="2" spans="1:12" s="306" customFormat="1" ht="7.5" customHeight="1" x14ac:dyDescent="0.25">
      <c r="J2" s="312"/>
      <c r="K2" s="312"/>
      <c r="L2" s="312"/>
    </row>
    <row r="3" spans="1:12" x14ac:dyDescent="0.25">
      <c r="A3" s="298" t="s">
        <v>1</v>
      </c>
      <c r="B3" s="399"/>
      <c r="C3" s="400"/>
      <c r="D3" s="400"/>
      <c r="E3" s="401"/>
      <c r="F3" s="34" t="s">
        <v>259</v>
      </c>
      <c r="G3" s="197"/>
      <c r="I3" s="155"/>
      <c r="J3" s="141"/>
      <c r="K3" s="308"/>
      <c r="L3" s="123"/>
    </row>
    <row r="4" spans="1:12" ht="15" customHeight="1" x14ac:dyDescent="0.25">
      <c r="A4" s="298" t="s">
        <v>0</v>
      </c>
      <c r="B4" s="402"/>
      <c r="C4" s="403"/>
      <c r="D4" s="403"/>
      <c r="E4" s="404"/>
      <c r="F4" s="194" t="s">
        <v>260</v>
      </c>
      <c r="G4" s="193">
        <v>44979</v>
      </c>
      <c r="I4" s="306" t="str">
        <f>'Metrics &amp; Drop Downs'!AM4</f>
        <v>3 Yr Base Rate Tracker to 75% LTV (T0037)</v>
      </c>
      <c r="J4" s="307">
        <f>'Metrics &amp; Drop Downs'!AN4</f>
        <v>5.6899999999999999E-2</v>
      </c>
      <c r="K4" s="308">
        <f>'Metrics &amp; Drop Downs'!AO4</f>
        <v>5.5E-2</v>
      </c>
      <c r="L4" s="124"/>
    </row>
    <row r="5" spans="1:12" s="306" customFormat="1" x14ac:dyDescent="0.25">
      <c r="I5" s="306" t="str">
        <f>'Metrics &amp; Drop Downs'!AM5</f>
        <v>3 Yr Base Rate Tracker to 90% LTV (T0038)</v>
      </c>
      <c r="J5" s="307">
        <f>'Metrics &amp; Drop Downs'!AN5</f>
        <v>5.9900000000000002E-2</v>
      </c>
      <c r="K5" s="308">
        <f>'Metrics &amp; Drop Downs'!AO5</f>
        <v>5.6000000000000001E-2</v>
      </c>
      <c r="L5" s="312"/>
    </row>
    <row r="6" spans="1:12" x14ac:dyDescent="0.25">
      <c r="A6" s="300" t="s">
        <v>17</v>
      </c>
      <c r="B6" s="298" t="s">
        <v>7</v>
      </c>
      <c r="C6" s="385" t="s">
        <v>9</v>
      </c>
      <c r="D6" s="385"/>
      <c r="E6" s="385" t="s">
        <v>10</v>
      </c>
      <c r="F6" s="385"/>
      <c r="G6" s="298" t="s">
        <v>173</v>
      </c>
      <c r="I6" s="306" t="str">
        <f>'Metrics &amp; Drop Downs'!AM6</f>
        <v>5 Year Fixed to 75% LTV (F0062)</v>
      </c>
      <c r="J6" s="307">
        <f>'Metrics &amp; Drop Downs'!AN6</f>
        <v>5.4899999999999997E-2</v>
      </c>
      <c r="K6" s="308">
        <f>'Metrics &amp; Drop Downs'!AO6</f>
        <v>5.5E-2</v>
      </c>
      <c r="L6" s="123"/>
    </row>
    <row r="7" spans="1:12" x14ac:dyDescent="0.25">
      <c r="A7" s="298" t="s">
        <v>3</v>
      </c>
      <c r="B7" s="235"/>
      <c r="C7" s="417"/>
      <c r="D7" s="417"/>
      <c r="E7" s="417"/>
      <c r="F7" s="417"/>
      <c r="G7" s="236"/>
      <c r="I7" s="306" t="str">
        <f>'Metrics &amp; Drop Downs'!AM7</f>
        <v>5 Year Fixed to 90% LTV (F0063)</v>
      </c>
      <c r="J7" s="307">
        <f>'Metrics &amp; Drop Downs'!AN7</f>
        <v>5.79E-2</v>
      </c>
      <c r="K7" s="308">
        <f>'Metrics &amp; Drop Downs'!AO7</f>
        <v>5.6000000000000001E-2</v>
      </c>
      <c r="L7" s="123"/>
    </row>
    <row r="8" spans="1:12" x14ac:dyDescent="0.25">
      <c r="A8" s="298" t="s">
        <v>2</v>
      </c>
      <c r="B8" s="234"/>
      <c r="C8" s="387"/>
      <c r="D8" s="387"/>
      <c r="E8" s="387"/>
      <c r="F8" s="387"/>
      <c r="G8" s="237"/>
      <c r="I8" s="306" t="str">
        <f>'Metrics &amp; Drop Downs'!AM8</f>
        <v/>
      </c>
      <c r="J8" s="307" t="str">
        <f>'Metrics &amp; Drop Downs'!AN8</f>
        <v/>
      </c>
      <c r="K8" s="308" t="str">
        <f>'Metrics &amp; Drop Downs'!AO8</f>
        <v/>
      </c>
      <c r="L8" s="123"/>
    </row>
    <row r="9" spans="1:12" s="306" customFormat="1" ht="6" customHeight="1" x14ac:dyDescent="0.25">
      <c r="I9" s="306" t="str">
        <f>'Metrics &amp; Drop Downs'!AM9</f>
        <v/>
      </c>
      <c r="J9" s="307" t="str">
        <f>'Metrics &amp; Drop Downs'!AN9</f>
        <v/>
      </c>
      <c r="K9" s="308" t="str">
        <f>'Metrics &amp; Drop Downs'!AO9</f>
        <v/>
      </c>
      <c r="L9" s="312"/>
    </row>
    <row r="10" spans="1:12" s="1" customFormat="1" ht="15" customHeight="1" x14ac:dyDescent="0.25">
      <c r="A10" s="301" t="s">
        <v>18</v>
      </c>
      <c r="B10" s="305" t="s">
        <v>81</v>
      </c>
      <c r="C10" s="305" t="s">
        <v>82</v>
      </c>
      <c r="I10" s="306" t="str">
        <f>'Metrics &amp; Drop Downs'!AM10</f>
        <v/>
      </c>
      <c r="J10" s="307" t="str">
        <f>'Metrics &amp; Drop Downs'!AN10</f>
        <v/>
      </c>
      <c r="K10" s="308" t="str">
        <f>'Metrics &amp; Drop Downs'!AO10</f>
        <v/>
      </c>
    </row>
    <row r="11" spans="1:12" s="1" customFormat="1" ht="15" customHeight="1" x14ac:dyDescent="0.25">
      <c r="A11" s="302" t="s">
        <v>237</v>
      </c>
      <c r="B11" s="200" t="s">
        <v>103</v>
      </c>
      <c r="C11" s="240" t="s">
        <v>103</v>
      </c>
      <c r="I11" s="306" t="str">
        <f>'Metrics &amp; Drop Downs'!AM11</f>
        <v/>
      </c>
      <c r="J11" s="307" t="str">
        <f>'Metrics &amp; Drop Downs'!AN11</f>
        <v/>
      </c>
      <c r="K11" s="308" t="str">
        <f>'Metrics &amp; Drop Downs'!AO11</f>
        <v/>
      </c>
    </row>
    <row r="12" spans="1:12" x14ac:dyDescent="0.25">
      <c r="A12" s="298" t="s">
        <v>11</v>
      </c>
      <c r="B12" s="242"/>
      <c r="C12" s="241"/>
      <c r="D12" s="150">
        <f>VLOOKUP(A12, 'Metrics &amp; Drop Downs'!$F$41:$G$46, 2, FALSE)</f>
        <v>1</v>
      </c>
      <c r="I12" s="306" t="str">
        <f>'Metrics &amp; Drop Downs'!AM12</f>
        <v/>
      </c>
      <c r="J12" s="307" t="str">
        <f>'Metrics &amp; Drop Downs'!AN12</f>
        <v/>
      </c>
      <c r="K12" s="308" t="str">
        <f>'Metrics &amp; Drop Downs'!AO12</f>
        <v/>
      </c>
      <c r="L12" s="123"/>
    </row>
    <row r="13" spans="1:12" x14ac:dyDescent="0.25">
      <c r="A13" s="298" t="s">
        <v>12</v>
      </c>
      <c r="B13" s="171"/>
      <c r="C13" s="172"/>
      <c r="D13" s="150">
        <f>VLOOKUP(A13, 'Metrics &amp; Drop Downs'!$F$41:$G$46, 2, FALSE)</f>
        <v>0.5</v>
      </c>
      <c r="I13" s="306" t="str">
        <f>'Metrics &amp; Drop Downs'!AM13</f>
        <v/>
      </c>
      <c r="J13" s="307" t="str">
        <f>'Metrics &amp; Drop Downs'!AN13</f>
        <v/>
      </c>
      <c r="K13" s="308" t="str">
        <f>'Metrics &amp; Drop Downs'!AO13</f>
        <v/>
      </c>
      <c r="L13" s="123"/>
    </row>
    <row r="14" spans="1:12" x14ac:dyDescent="0.25">
      <c r="A14" s="298" t="s">
        <v>13</v>
      </c>
      <c r="B14" s="171"/>
      <c r="C14" s="172"/>
      <c r="D14" s="150">
        <f>VLOOKUP(A14, 'Metrics &amp; Drop Downs'!$F$41:$G$46, 2, FALSE)</f>
        <v>0.5</v>
      </c>
      <c r="I14" s="306" t="str">
        <f>'Metrics &amp; Drop Downs'!AM14</f>
        <v/>
      </c>
      <c r="J14" s="307" t="str">
        <f>'Metrics &amp; Drop Downs'!AN14</f>
        <v/>
      </c>
      <c r="K14" s="308" t="str">
        <f>'Metrics &amp; Drop Downs'!AO14</f>
        <v/>
      </c>
      <c r="L14" s="123"/>
    </row>
    <row r="15" spans="1:12" x14ac:dyDescent="0.25">
      <c r="A15" s="298" t="s">
        <v>78</v>
      </c>
      <c r="B15" s="171"/>
      <c r="C15" s="172"/>
      <c r="D15" s="150">
        <f>VLOOKUP(A15, 'Metrics &amp; Drop Downs'!$F$41:$G$46, 2, FALSE)</f>
        <v>1</v>
      </c>
      <c r="I15" s="306" t="str">
        <f>'Metrics &amp; Drop Downs'!AM15</f>
        <v/>
      </c>
      <c r="J15" s="307" t="str">
        <f>'Metrics &amp; Drop Downs'!AN15</f>
        <v/>
      </c>
      <c r="K15" s="308" t="str">
        <f>'Metrics &amp; Drop Downs'!AO15</f>
        <v/>
      </c>
      <c r="L15" s="123"/>
    </row>
    <row r="16" spans="1:12" x14ac:dyDescent="0.25">
      <c r="A16" s="298" t="s">
        <v>79</v>
      </c>
      <c r="B16" s="173"/>
      <c r="C16" s="174"/>
      <c r="D16" s="150">
        <f>VLOOKUP(A16, 'Metrics &amp; Drop Downs'!$F$41:$G$46, 2, FALSE)</f>
        <v>0.5</v>
      </c>
      <c r="I16" s="306" t="str">
        <f>'Metrics &amp; Drop Downs'!AM16</f>
        <v/>
      </c>
      <c r="J16" s="307" t="str">
        <f>'Metrics &amp; Drop Downs'!AN16</f>
        <v/>
      </c>
      <c r="K16" s="308" t="str">
        <f>'Metrics &amp; Drop Downs'!AO16</f>
        <v/>
      </c>
      <c r="L16" s="123"/>
    </row>
    <row r="17" spans="1:16" x14ac:dyDescent="0.25">
      <c r="A17" s="306" t="s">
        <v>14</v>
      </c>
      <c r="B17" s="343">
        <f>B12*'Metrics &amp; Drop Downs'!$G41+B13*'Metrics &amp; Drop Downs'!$G42+'AIP Indicator'!B14*'Metrics &amp; Drop Downs'!$G43+B15*'Metrics &amp; Drop Downs'!$G45+'AIP Indicator'!B16*'Metrics &amp; Drop Downs'!$G46</f>
        <v>0</v>
      </c>
      <c r="C17" s="343">
        <f>C12*'Metrics &amp; Drop Downs'!$G41+C13*'Metrics &amp; Drop Downs'!$G42+'AIP Indicator'!C14*'Metrics &amp; Drop Downs'!$G43+C15*'Metrics &amp; Drop Downs'!$G45+'AIP Indicator'!C16*'Metrics &amp; Drop Downs'!$G46</f>
        <v>0</v>
      </c>
      <c r="D17" s="343">
        <f>B17+C17</f>
        <v>0</v>
      </c>
      <c r="I17" s="306" t="str">
        <f>'Metrics &amp; Drop Downs'!AM17</f>
        <v/>
      </c>
      <c r="J17" s="307" t="str">
        <f>'Metrics &amp; Drop Downs'!AN17</f>
        <v/>
      </c>
      <c r="K17" s="308" t="str">
        <f>'Metrics &amp; Drop Downs'!AO17</f>
        <v/>
      </c>
      <c r="L17" s="123"/>
    </row>
    <row r="18" spans="1:16" s="306" customFormat="1" ht="6" customHeight="1" x14ac:dyDescent="0.25">
      <c r="B18" s="343"/>
      <c r="C18" s="343"/>
      <c r="D18" s="343"/>
      <c r="I18" s="306" t="str">
        <f>'Metrics &amp; Drop Downs'!AM18</f>
        <v/>
      </c>
      <c r="J18" s="307" t="str">
        <f>'Metrics &amp; Drop Downs'!AN18</f>
        <v/>
      </c>
      <c r="K18" s="308" t="str">
        <f>'Metrics &amp; Drop Downs'!AO18</f>
        <v/>
      </c>
      <c r="L18" s="312"/>
    </row>
    <row r="19" spans="1:16" x14ac:dyDescent="0.25">
      <c r="A19" s="300" t="s">
        <v>72</v>
      </c>
      <c r="B19" s="4"/>
      <c r="C19" s="4"/>
      <c r="D19" s="4"/>
      <c r="I19" s="306" t="str">
        <f>'Metrics &amp; Drop Downs'!AM19</f>
        <v/>
      </c>
      <c r="J19" s="307" t="str">
        <f>'Metrics &amp; Drop Downs'!AN19</f>
        <v/>
      </c>
      <c r="K19" s="308" t="str">
        <f>'Metrics &amp; Drop Downs'!AO19</f>
        <v/>
      </c>
      <c r="L19" s="123"/>
    </row>
    <row r="20" spans="1:16" x14ac:dyDescent="0.25">
      <c r="A20" s="416" t="s">
        <v>73</v>
      </c>
      <c r="B20" s="416"/>
      <c r="C20" s="416"/>
      <c r="D20" s="303" t="s">
        <v>60</v>
      </c>
      <c r="E20" s="386" t="s">
        <v>74</v>
      </c>
      <c r="F20" s="386"/>
      <c r="G20" s="303" t="s">
        <v>75</v>
      </c>
      <c r="I20" s="306" t="str">
        <f>'Metrics &amp; Drop Downs'!AM20</f>
        <v/>
      </c>
      <c r="J20" s="307" t="str">
        <f>'Metrics &amp; Drop Downs'!AN20</f>
        <v/>
      </c>
      <c r="K20" s="308" t="str">
        <f>'Metrics &amp; Drop Downs'!AO20</f>
        <v/>
      </c>
      <c r="L20" s="123"/>
    </row>
    <row r="21" spans="1:16" x14ac:dyDescent="0.25">
      <c r="A21" s="407"/>
      <c r="B21" s="408"/>
      <c r="C21" s="408"/>
      <c r="D21" s="152"/>
      <c r="E21" s="415"/>
      <c r="F21" s="415"/>
      <c r="G21" s="157"/>
      <c r="I21" s="306" t="str">
        <f>'Metrics &amp; Drop Downs'!AM21</f>
        <v/>
      </c>
      <c r="J21" s="307" t="str">
        <f>'Metrics &amp; Drop Downs'!AN21</f>
        <v/>
      </c>
      <c r="K21" s="308" t="str">
        <f>'Metrics &amp; Drop Downs'!AO21</f>
        <v/>
      </c>
      <c r="L21" s="123"/>
    </row>
    <row r="22" spans="1:16" x14ac:dyDescent="0.25">
      <c r="A22" s="409"/>
      <c r="B22" s="410"/>
      <c r="C22" s="410"/>
      <c r="D22" s="153"/>
      <c r="E22" s="413"/>
      <c r="F22" s="413"/>
      <c r="G22" s="158"/>
      <c r="I22" s="306" t="str">
        <f>'Metrics &amp; Drop Downs'!AM22</f>
        <v/>
      </c>
      <c r="J22" s="307" t="str">
        <f>'Metrics &amp; Drop Downs'!AN22</f>
        <v/>
      </c>
      <c r="K22" s="308" t="str">
        <f>'Metrics &amp; Drop Downs'!AO22</f>
        <v/>
      </c>
      <c r="L22" s="123"/>
    </row>
    <row r="23" spans="1:16" x14ac:dyDescent="0.25">
      <c r="A23" s="409"/>
      <c r="B23" s="410"/>
      <c r="C23" s="410"/>
      <c r="D23" s="153"/>
      <c r="E23" s="413"/>
      <c r="F23" s="413"/>
      <c r="G23" s="158"/>
      <c r="I23" s="306" t="str">
        <f>'Metrics &amp; Drop Downs'!AM21</f>
        <v/>
      </c>
      <c r="J23" s="307" t="str">
        <f>'Metrics &amp; Drop Downs'!AN21</f>
        <v/>
      </c>
      <c r="K23" s="308"/>
      <c r="L23" s="123"/>
    </row>
    <row r="24" spans="1:16" x14ac:dyDescent="0.25">
      <c r="A24" s="411"/>
      <c r="B24" s="412"/>
      <c r="C24" s="412"/>
      <c r="D24" s="154"/>
      <c r="E24" s="414"/>
      <c r="F24" s="414"/>
      <c r="G24" s="119"/>
      <c r="I24" s="306" t="str">
        <f>'Metrics &amp; Drop Downs'!AM22</f>
        <v/>
      </c>
      <c r="J24" s="307" t="str">
        <f>'Metrics &amp; Drop Downs'!AN22</f>
        <v/>
      </c>
      <c r="K24" s="308"/>
      <c r="L24" s="123"/>
    </row>
    <row r="25" spans="1:16" x14ac:dyDescent="0.25">
      <c r="A25" s="312"/>
      <c r="B25" s="312"/>
      <c r="C25" s="343" t="s">
        <v>76</v>
      </c>
      <c r="D25" s="343">
        <f>SUM(D21:D24)</f>
        <v>0</v>
      </c>
      <c r="E25" s="405">
        <f>SUM(E21:E24)</f>
        <v>0</v>
      </c>
      <c r="F25" s="406"/>
      <c r="G25" s="306"/>
      <c r="I25" s="306" t="str">
        <f>'Metrics &amp; Drop Downs'!AM23</f>
        <v/>
      </c>
      <c r="J25" s="307" t="str">
        <f>'Metrics &amp; Drop Downs'!AN23</f>
        <v/>
      </c>
      <c r="K25" s="308" t="str">
        <f>'Metrics &amp; Drop Downs'!AO23</f>
        <v/>
      </c>
      <c r="L25" s="123"/>
    </row>
    <row r="26" spans="1:16" s="306" customFormat="1" ht="6" customHeight="1" x14ac:dyDescent="0.25">
      <c r="I26" s="306" t="str">
        <f>'Metrics &amp; Drop Downs'!AM24</f>
        <v/>
      </c>
      <c r="J26" s="307" t="str">
        <f>'Metrics &amp; Drop Downs'!AN24</f>
        <v/>
      </c>
      <c r="K26" s="308" t="str">
        <f>'Metrics &amp; Drop Downs'!AO24</f>
        <v/>
      </c>
      <c r="L26" s="312"/>
    </row>
    <row r="27" spans="1:16" s="155" customFormat="1" ht="15" customHeight="1" x14ac:dyDescent="0.25">
      <c r="A27" s="298" t="s">
        <v>293</v>
      </c>
      <c r="B27" s="243">
        <v>0</v>
      </c>
      <c r="I27" s="306"/>
      <c r="J27" s="307"/>
      <c r="K27" s="308"/>
      <c r="L27" s="244"/>
    </row>
    <row r="28" spans="1:16" s="306" customFormat="1" ht="6" customHeight="1" x14ac:dyDescent="0.25">
      <c r="J28" s="307"/>
      <c r="K28" s="308"/>
      <c r="L28" s="312"/>
    </row>
    <row r="29" spans="1:16" x14ac:dyDescent="0.25">
      <c r="A29" s="300" t="s">
        <v>277</v>
      </c>
      <c r="B29" s="243" t="s">
        <v>275</v>
      </c>
      <c r="C29" s="299" t="s">
        <v>153</v>
      </c>
      <c r="D29" s="159" t="s">
        <v>103</v>
      </c>
      <c r="E29" s="299" t="s">
        <v>319</v>
      </c>
      <c r="F29" s="120"/>
      <c r="G29" s="113"/>
      <c r="I29" s="309" t="str">
        <f>IF(Buy_to_Let="Yes", "", "Max Affordability (by LTV)")</f>
        <v>Max Affordability (by LTV)</v>
      </c>
      <c r="J29" s="310" t="str">
        <f>IF(Buy_to_Let="Yes", "", "Employed")</f>
        <v>Employed</v>
      </c>
      <c r="K29" s="311" t="e">
        <f ca="1">IF(MAX(K31:K35)&gt;0, "Retired", "")</f>
        <v>#N/A</v>
      </c>
      <c r="L29" s="311" t="str">
        <f>IF(MAX(L31:L35)&gt;0, "Elder Retired", "")</f>
        <v/>
      </c>
    </row>
    <row r="30" spans="1:16" s="306" customFormat="1" ht="6" customHeight="1" x14ac:dyDescent="0.25">
      <c r="L30" s="312"/>
    </row>
    <row r="31" spans="1:16" s="155" customFormat="1" x14ac:dyDescent="0.25">
      <c r="A31" s="304" t="str">
        <f>IF(Mortgage_Type="Purchase", "Deposit", "Property Value")</f>
        <v>Deposit</v>
      </c>
      <c r="B31" s="230"/>
      <c r="E31" s="5" t="s">
        <v>323</v>
      </c>
      <c r="F31" s="243"/>
      <c r="I31" s="306" t="str">
        <f>IF(Buy_to_Let="Yes", "", IF(Island="GHA","",IF(Island="Guernsey",IF('Metrics &amp; Drop Downs'!B31="No","","&gt;90% LTV"),IF('Metrics &amp; Drop Downs'!B32="No","","&gt;90% LTV"))))</f>
        <v>&gt;90% LTV</v>
      </c>
      <c r="J31" s="313" t="str">
        <f>Calculations!E23</f>
        <v/>
      </c>
      <c r="K31" s="314" t="e">
        <f ca="1">IF(MAX(Calculations!E24:E25)&gt;Calculations!E23, MAX(Calculations!E24:E25), "")</f>
        <v>#N/A</v>
      </c>
      <c r="L31" s="314" t="str">
        <f>IF(Direct="Broker", "", IF(C17=0,"",IF(MAX(Calculations!E23:E24)=0, "", MAX(Calculations!E23:E24))))</f>
        <v/>
      </c>
      <c r="N31" s="296"/>
      <c r="O31" s="297"/>
      <c r="P31" s="297"/>
    </row>
    <row r="32" spans="1:16" x14ac:dyDescent="0.25">
      <c r="A32" s="298" t="s">
        <v>21</v>
      </c>
      <c r="B32" s="228"/>
      <c r="C32" s="346" t="s">
        <v>19</v>
      </c>
      <c r="D32" s="347" t="e">
        <f>IF(B29="Purchase", B32/B35, B32/B31)</f>
        <v>#DIV/0!</v>
      </c>
      <c r="E32" s="49"/>
      <c r="F32" s="11"/>
      <c r="G32" s="11"/>
      <c r="I32" s="306" t="str">
        <f>IF(Buy_to_Let="Yes", "", "&gt;"&amp;LTV_Affordability&amp;"% LTV")</f>
        <v>&gt;85% LTV</v>
      </c>
      <c r="J32" s="314" t="e">
        <f ca="1">IF(Buy_to_Let="Yes", "", Calculations!D23)</f>
        <v>#VALUE!</v>
      </c>
      <c r="K32" s="314" t="e">
        <f ca="1">IF(MAX(Calculations!D24:D25)&gt;Calculations!D23, MAX(Calculations!D24:D25), "")</f>
        <v>#N/A</v>
      </c>
      <c r="L32" s="314" t="str">
        <f>IF(C17=0,"",IF(D29="Yes", "", MAX(Calculations!D23:D24)))</f>
        <v/>
      </c>
      <c r="N32" s="296"/>
      <c r="O32" s="297"/>
      <c r="P32" s="297"/>
    </row>
    <row r="33" spans="1:16" x14ac:dyDescent="0.25">
      <c r="A33" s="298" t="s">
        <v>25</v>
      </c>
      <c r="B33" s="227"/>
      <c r="C33" s="346" t="s">
        <v>236</v>
      </c>
      <c r="D33" s="348" t="e">
        <f ca="1">IF(E8="", Max_Term, MAX(Calculations!C99, Calculations!C101))</f>
        <v>#VALUE!</v>
      </c>
      <c r="E33" s="374" t="s">
        <v>326</v>
      </c>
      <c r="F33">
        <f ca="1">69-MAX(Calculations!C74:C75)</f>
        <v>69</v>
      </c>
      <c r="I33" s="306" t="str">
        <f>IF(Buy_to_Let="Yes", "", "&gt;"&amp;'Metrics &amp; Drop Downs'!B49&amp;"% LTV")</f>
        <v>&gt;70% LTV</v>
      </c>
      <c r="J33" s="314" t="e">
        <f ca="1">IF(Buy_to_Let="Yes","",Calculations!C23)</f>
        <v>#VALUE!</v>
      </c>
      <c r="K33" s="314" t="e">
        <f ca="1">IF(MAX(Calculations!C24:C25)&gt;Calculations!C23, MAX(Calculations!C24:C25), "")</f>
        <v>#N/A</v>
      </c>
      <c r="L33" s="314" t="str">
        <f>IF(C17=0,"",IF(D29="Yes", "", MAX(Calculations!C23:C24)))</f>
        <v/>
      </c>
      <c r="N33" s="296"/>
      <c r="O33" s="297"/>
      <c r="P33" s="297"/>
    </row>
    <row r="34" spans="1:16" s="196" customFormat="1" ht="6" customHeight="1" x14ac:dyDescent="0.25">
      <c r="B34" s="350"/>
      <c r="C34" s="351"/>
      <c r="I34" s="306"/>
      <c r="J34" s="307"/>
      <c r="K34" s="308"/>
      <c r="L34" s="314"/>
    </row>
    <row r="35" spans="1:16" s="306" customFormat="1" x14ac:dyDescent="0.25">
      <c r="A35" s="306" t="str">
        <f>IF(Mortgage_Type="Purchase","Property Value","")</f>
        <v>Property Value</v>
      </c>
      <c r="B35" s="213">
        <f>IF(B29="Purchase", IF(B32=0, IF(Deposit=0, Calculations!E30, Deposit+Max_AIP_Available), Deposit+Amount_Requested), "")</f>
        <v>0</v>
      </c>
      <c r="E35" s="346" t="s">
        <v>327</v>
      </c>
      <c r="F35" s="306" t="e">
        <f ca="1">Calculations!C97</f>
        <v>#N/A</v>
      </c>
      <c r="G35" s="122"/>
      <c r="I35" s="306" t="str">
        <f>IF(Buy_to_Let="Yes", "", "&lt;="&amp;'Metrics &amp; Drop Downs'!B49&amp;"% LTV")</f>
        <v>&lt;=70% LTV</v>
      </c>
      <c r="J35" s="314" t="e">
        <f ca="1">IF(Buy_to_Let="Yes", "", Calculations!B23)</f>
        <v>#VALUE!</v>
      </c>
      <c r="K35" s="314" t="e">
        <f ca="1">IF(MAX(Calculations!B24:B25)&gt;Calculations!B23, MAX(Calculations!B24:B25), "")</f>
        <v>#N/A</v>
      </c>
      <c r="L35" s="314" t="str">
        <f>IF(C17=0,"",IF(D29="Yes", "", MAX(Calculations!B23:B24)))</f>
        <v/>
      </c>
    </row>
    <row r="36" spans="1:16" s="196" customFormat="1" ht="6" customHeight="1" x14ac:dyDescent="0.25">
      <c r="B36" s="350"/>
      <c r="C36" s="351"/>
      <c r="I36" s="306"/>
      <c r="J36" s="307"/>
      <c r="K36" s="308"/>
      <c r="L36" s="315"/>
    </row>
    <row r="37" spans="1:16" s="42" customFormat="1" ht="21" x14ac:dyDescent="0.3">
      <c r="A37" s="355" t="s">
        <v>80</v>
      </c>
      <c r="B37" s="345" t="str">
        <f ca="1">Calculations!A69</f>
        <v>Declined</v>
      </c>
      <c r="C37" s="364" t="str">
        <f ca="1">B37</f>
        <v>Declined</v>
      </c>
      <c r="D37" s="42" t="str">
        <f ca="1">IF(B37&lt;&gt;"AIP","  Due to "&amp;VLOOKUP(B37,Calculations!A58:C65,3,FALSE ), "")</f>
        <v xml:space="preserve">  Due to Minimum Mortgage Value</v>
      </c>
      <c r="I37" s="316" t="e">
        <f ca="1">IF(Requested_Term&gt;MAX(Calculations!C97:C99), "Mortgage Beyond States Retirement Age", "")</f>
        <v>#N/A</v>
      </c>
      <c r="J37" s="317"/>
      <c r="K37" s="318"/>
      <c r="L37" s="319"/>
    </row>
    <row r="38" spans="1:16" s="306" customFormat="1" ht="6" customHeight="1" x14ac:dyDescent="0.3">
      <c r="I38" s="320"/>
      <c r="J38" s="320"/>
      <c r="K38" s="320"/>
      <c r="L38" s="312"/>
    </row>
    <row r="39" spans="1:16" s="306" customFormat="1" ht="18.75" x14ac:dyDescent="0.3">
      <c r="A39" s="306" t="s">
        <v>57</v>
      </c>
      <c r="B39" s="314" t="e">
        <f ca="1">Max_AIP_Available</f>
        <v>#VALUE!</v>
      </c>
      <c r="F39" s="314"/>
      <c r="I39" s="321" t="e">
        <f ca="1">IF(Requested_Term&gt;MAX(Calculations!C97:C99), "Mortgage Balance at Retirement @ FOR:", "")</f>
        <v>#N/A</v>
      </c>
      <c r="J39" s="320"/>
      <c r="M39" s="349" t="e">
        <f ca="1">IF(Requested_Term&gt;MAX(Calculations!C97:C99), Calculations!I45, "")</f>
        <v>#N/A</v>
      </c>
    </row>
    <row r="40" spans="1:16" s="306" customFormat="1" ht="6" customHeight="1" x14ac:dyDescent="0.3">
      <c r="B40" s="314"/>
      <c r="F40" s="314"/>
      <c r="I40" s="320"/>
      <c r="J40" s="320"/>
      <c r="K40" s="320"/>
    </row>
    <row r="41" spans="1:16" s="196" customFormat="1" ht="18.75" x14ac:dyDescent="0.3">
      <c r="A41" s="309" t="s">
        <v>266</v>
      </c>
      <c r="B41" s="195"/>
      <c r="C41" s="195"/>
      <c r="D41" s="195"/>
      <c r="E41" s="195"/>
      <c r="I41" s="316" t="e">
        <f ca="1">IF(Requested_Term&gt;MAX(Calculations!C97:C99), IF(Amount_Requested&lt;=MAX(Calculations!B23:E24), "Total Repayable for Mortgage Term to Retirement @ FOR:", ""), "")</f>
        <v>#N/A</v>
      </c>
      <c r="J41" s="322"/>
      <c r="K41" s="323"/>
      <c r="L41" s="315"/>
      <c r="M41" s="349" t="e">
        <f ca="1">IF(Requested_Term&gt;MAX(Calculations!C97:C99), IF(Amount_Requested&lt;=MAX(Calculations!B23:E24), Calculations!I41*12*Calculations!C99, ""), "")</f>
        <v>#N/A</v>
      </c>
    </row>
    <row r="42" spans="1:16" s="306" customFormat="1" x14ac:dyDescent="0.25">
      <c r="A42" s="324" t="s">
        <v>20</v>
      </c>
      <c r="B42" s="325" t="s">
        <v>26</v>
      </c>
      <c r="C42" s="326" t="s">
        <v>182</v>
      </c>
      <c r="D42" s="326" t="s">
        <v>248</v>
      </c>
      <c r="E42" s="418" t="s">
        <v>249</v>
      </c>
      <c r="F42" s="419"/>
      <c r="J42" s="307"/>
      <c r="K42" s="308"/>
      <c r="L42" s="312"/>
    </row>
    <row r="43" spans="1:16" s="306" customFormat="1" ht="18.75" x14ac:dyDescent="0.3">
      <c r="A43" s="327" t="str">
        <f>IF(Amount_Requested=0,"",IF($B$37="AIP",'Metrics &amp; Drop Downs'!AG4,IF($B$37="Refer",'Metrics &amp; Drop Downs'!AG4,"")))</f>
        <v/>
      </c>
      <c r="B43" s="328" t="str">
        <f>IF(A43="", "", 'Metrics &amp; Drop Downs'!AH4)</f>
        <v/>
      </c>
      <c r="C43" s="329" t="str">
        <f>IF(A43="", "", 'Metrics &amp; Drop Downs'!AI4)</f>
        <v/>
      </c>
      <c r="D43" s="330" t="str">
        <f>IF(A43="", "", 'Metrics &amp; Drop Downs'!AJ4)</f>
        <v/>
      </c>
      <c r="E43" s="420" t="str">
        <f>IF(A43="", "", IF(Interest_Only="Yes", B32*B43/12, Calculations!I11))</f>
        <v/>
      </c>
      <c r="F43" s="421"/>
      <c r="I43" s="321" t="e">
        <f ca="1">IF(Requested_Term&gt;MAX(Calculations!C97:C99), IF(Amount_Requested&lt;=MAX(Calculations!B23:E24), "Total Repayable for Selected Mortgage Term @ FOR:", ""),"")</f>
        <v>#N/A</v>
      </c>
      <c r="J43" s="307"/>
      <c r="K43" s="308"/>
      <c r="L43" s="312"/>
      <c r="M43" s="349" t="e">
        <f ca="1">IF(Requested_Term&gt;MAX(Calculations!C97:C99), IF(Amount_Requested&lt;=MAX(Calculations!B23:E24), Calculations!I46*12*Requested_Term, ""), "")</f>
        <v>#N/A</v>
      </c>
    </row>
    <row r="44" spans="1:16" s="306" customFormat="1" x14ac:dyDescent="0.25">
      <c r="A44" s="327" t="str">
        <f>IF(Amount_Requested=0,"",IF($B$37="AIP",'Metrics &amp; Drop Downs'!AG5,IF($B$37="Refer",'Metrics &amp; Drop Downs'!AG5,"")))</f>
        <v/>
      </c>
      <c r="B44" s="328" t="str">
        <f>IF(A44="", "", 'Metrics &amp; Drop Downs'!AH5)</f>
        <v/>
      </c>
      <c r="C44" s="329" t="str">
        <f>IF(A44="", "", 'Metrics &amp; Drop Downs'!AI5)</f>
        <v/>
      </c>
      <c r="D44" s="330" t="str">
        <f>IF(A44="", "", 'Metrics &amp; Drop Downs'!AJ5)</f>
        <v/>
      </c>
      <c r="E44" s="420" t="str">
        <f>IF(A44="","",IF(Interest_Only="Yes",B32*B44/12,Calculations!M11))</f>
        <v/>
      </c>
      <c r="F44" s="421"/>
      <c r="J44" s="307"/>
      <c r="K44" s="308"/>
      <c r="L44" s="312"/>
    </row>
    <row r="45" spans="1:16" s="306" customFormat="1" x14ac:dyDescent="0.25">
      <c r="A45" s="327" t="str">
        <f>IF(Amount_Requested=0,"",IF($B$37="AIP",'Metrics &amp; Drop Downs'!AG6,IF($B$37="Refer",'Metrics &amp; Drop Downs'!AG6,"")))</f>
        <v/>
      </c>
      <c r="B45" s="328" t="str">
        <f>IF(A45="", "", 'Metrics &amp; Drop Downs'!AH6)</f>
        <v/>
      </c>
      <c r="C45" s="329" t="str">
        <f>IF(A45="", "", 'Metrics &amp; Drop Downs'!AI6)</f>
        <v/>
      </c>
      <c r="D45" s="330" t="str">
        <f>IF(A45="", "", 'Metrics &amp; Drop Downs'!AJ6)</f>
        <v/>
      </c>
      <c r="E45" s="420" t="str">
        <f>IF(A45="", "", IF(Interest_Only="Yes", B32*B45/12, Calculations!Q11))</f>
        <v/>
      </c>
      <c r="F45" s="421"/>
      <c r="J45" s="307"/>
      <c r="K45" s="308"/>
      <c r="L45" s="312"/>
    </row>
    <row r="46" spans="1:16" s="306" customFormat="1" x14ac:dyDescent="0.25">
      <c r="A46" s="327" t="str">
        <f>IF(Amount_Requested=0,"",IF($B$37="AIP",'Metrics &amp; Drop Downs'!AG7,IF($B$37="Refer",'Metrics &amp; Drop Downs'!AG7,"")))</f>
        <v/>
      </c>
      <c r="B46" s="328" t="str">
        <f>IF(A46="", "", 'Metrics &amp; Drop Downs'!AH7)</f>
        <v/>
      </c>
      <c r="C46" s="329" t="str">
        <f>IF(A46="", "", 'Metrics &amp; Drop Downs'!AI7)</f>
        <v/>
      </c>
      <c r="D46" s="330" t="str">
        <f>IF(A46="", "", 'Metrics &amp; Drop Downs'!AJ7)</f>
        <v/>
      </c>
      <c r="E46" s="420" t="str">
        <f>IF(A46="", "", IF(Interest_Only="Yes", B32*B46/12, Calculations!U11))</f>
        <v/>
      </c>
      <c r="F46" s="421"/>
      <c r="J46" s="307"/>
      <c r="K46" s="308"/>
      <c r="L46" s="312"/>
    </row>
    <row r="47" spans="1:16" s="306" customFormat="1" x14ac:dyDescent="0.25">
      <c r="A47" s="327" t="str">
        <f>IF(Amount_Requested=0,"",IF($B$37="AIP",'Metrics &amp; Drop Downs'!AG8,IF($B$37="Refer",'Metrics &amp; Drop Downs'!AG8,"")))</f>
        <v/>
      </c>
      <c r="B47" s="328" t="str">
        <f>IF(A47="", "", 'Metrics &amp; Drop Downs'!AH8)</f>
        <v/>
      </c>
      <c r="C47" s="329" t="str">
        <f>IF(A47="", "", 'Metrics &amp; Drop Downs'!AI8)</f>
        <v/>
      </c>
      <c r="D47" s="330" t="str">
        <f>IF(A47="", "", 'Metrics &amp; Drop Downs'!AJ8)</f>
        <v/>
      </c>
      <c r="E47" s="420" t="str">
        <f>IF(A47="", "", IF(Interest_Only="Yes", B32*B47/12, Calculations!Y11))</f>
        <v/>
      </c>
      <c r="F47" s="421"/>
      <c r="J47" s="307"/>
      <c r="K47" s="308"/>
      <c r="L47" s="312"/>
    </row>
    <row r="48" spans="1:16" s="306" customFormat="1" x14ac:dyDescent="0.25">
      <c r="A48" s="331" t="str">
        <f>IF(Amount_Requested=0,"",IF($B$37="AIP",'Metrics &amp; Drop Downs'!AG9,IF($B$37="Refer",'Metrics &amp; Drop Downs'!AG9,"")))</f>
        <v/>
      </c>
      <c r="B48" s="332" t="str">
        <f>IF(A48="", "", 'Metrics &amp; Drop Downs'!AH9)</f>
        <v/>
      </c>
      <c r="C48" s="333" t="str">
        <f>IF(A48="", "", 'Metrics &amp; Drop Downs'!AI9)</f>
        <v/>
      </c>
      <c r="D48" s="334" t="str">
        <f>IF(A48="", "", 'Metrics &amp; Drop Downs'!AJ9)</f>
        <v/>
      </c>
      <c r="E48" s="428" t="str">
        <f>IF(A48="", "", IF(Interest_Only="Yes", B32*B48/12, Calculations!AC11))</f>
        <v/>
      </c>
      <c r="F48" s="429"/>
      <c r="J48" s="307"/>
      <c r="K48" s="308"/>
      <c r="L48" s="312"/>
    </row>
    <row r="49" spans="1:12" s="306" customFormat="1" x14ac:dyDescent="0.25">
      <c r="A49" s="335"/>
      <c r="B49" s="328"/>
      <c r="C49" s="329"/>
      <c r="D49" s="330"/>
      <c r="E49" s="336"/>
      <c r="F49" s="336"/>
      <c r="J49" s="307"/>
      <c r="K49" s="308"/>
      <c r="L49" s="312"/>
    </row>
    <row r="50" spans="1:12" s="306" customFormat="1" x14ac:dyDescent="0.25">
      <c r="A50" s="337" t="s">
        <v>304</v>
      </c>
      <c r="B50" s="338">
        <f>Follow_On_Rate</f>
        <v>5.3400000000000003E-2</v>
      </c>
      <c r="C50" s="339"/>
      <c r="D50" s="340"/>
      <c r="E50" s="341"/>
      <c r="F50" s="342" t="e">
        <f>IF(Interest_Only="Yes",B32*B50/12,Calculations!I47)</f>
        <v>#DIV/0!</v>
      </c>
      <c r="J50" s="307"/>
      <c r="K50" s="308"/>
      <c r="L50" s="312"/>
    </row>
    <row r="51" spans="1:12" s="306" customFormat="1" x14ac:dyDescent="0.25">
      <c r="A51" s="335"/>
      <c r="B51" s="328"/>
      <c r="C51" s="329"/>
      <c r="D51" s="330"/>
      <c r="E51" s="336"/>
      <c r="F51" s="336"/>
      <c r="J51" s="307"/>
      <c r="K51" s="308"/>
      <c r="L51" s="312"/>
    </row>
    <row r="52" spans="1:12" s="306" customFormat="1" hidden="1" x14ac:dyDescent="0.25">
      <c r="A52" s="335"/>
      <c r="B52" s="328"/>
      <c r="C52" s="329"/>
      <c r="D52" s="330"/>
      <c r="E52" s="336"/>
      <c r="F52" s="336"/>
      <c r="J52" s="307"/>
      <c r="K52" s="308"/>
      <c r="L52" s="312"/>
    </row>
    <row r="53" spans="1:12" s="306" customFormat="1" hidden="1" x14ac:dyDescent="0.25">
      <c r="A53" s="335"/>
      <c r="B53" s="328"/>
      <c r="C53" s="329"/>
      <c r="D53" s="330"/>
      <c r="E53" s="336"/>
      <c r="F53" s="336"/>
      <c r="J53" s="307"/>
      <c r="K53" s="308"/>
      <c r="L53" s="312"/>
    </row>
    <row r="54" spans="1:12" s="306" customFormat="1" hidden="1" x14ac:dyDescent="0.25">
      <c r="A54" s="335"/>
      <c r="B54" s="328"/>
      <c r="C54" s="329"/>
      <c r="D54" s="330"/>
      <c r="E54" s="336"/>
      <c r="F54" s="336"/>
      <c r="J54" s="307"/>
      <c r="K54" s="308"/>
      <c r="L54" s="312"/>
    </row>
    <row r="55" spans="1:12" s="306" customFormat="1" hidden="1" x14ac:dyDescent="0.25">
      <c r="A55" s="306" t="str">
        <f>"Max AIP Available - Percentage &lt;"&amp;LTV_Affordability&amp;"% LTV"</f>
        <v>Max AIP Available - Percentage &lt;85% LTV</v>
      </c>
      <c r="B55" s="314"/>
    </row>
    <row r="56" spans="1:12" s="306" customFormat="1" hidden="1" x14ac:dyDescent="0.25">
      <c r="A56" s="306" t="str">
        <f>"Max AIP Available - Percentage &gt;"&amp;LTV_Affordability&amp;"% LTV"</f>
        <v>Max AIP Available - Percentage &gt;85% LTV</v>
      </c>
      <c r="B56" s="314"/>
    </row>
    <row r="57" spans="1:12" s="306" customFormat="1" hidden="1" x14ac:dyDescent="0.25">
      <c r="A57" s="306" t="str">
        <f>"Max AIP Available - Percentage &gt;"&amp;'Metrics &amp; Drop Downs'!$B$51&amp;"% LTV (i.e. "&amp;'Metrics &amp; Drop Downs'!$C$51&amp;")"</f>
        <v>Max AIP Available - Percentage &gt;90% LTV (i.e. NGM)</v>
      </c>
      <c r="B57" s="314"/>
    </row>
    <row r="58" spans="1:12" s="306" customFormat="1" hidden="1" x14ac:dyDescent="0.25"/>
    <row r="59" spans="1:12" s="306" customFormat="1" ht="15.75" hidden="1" customHeight="1" thickBot="1" x14ac:dyDescent="0.3">
      <c r="A59" s="430" t="s">
        <v>132</v>
      </c>
      <c r="B59" s="431"/>
      <c r="C59" s="431"/>
      <c r="D59" s="431"/>
      <c r="E59" s="356" t="s">
        <v>133</v>
      </c>
      <c r="F59" s="422" t="s">
        <v>138</v>
      </c>
      <c r="G59" s="423"/>
      <c r="H59" s="423"/>
      <c r="I59" s="424"/>
    </row>
    <row r="60" spans="1:12" s="306" customFormat="1" ht="45" hidden="1" customHeight="1" x14ac:dyDescent="0.25">
      <c r="A60" s="392" t="s">
        <v>142</v>
      </c>
      <c r="B60" s="393"/>
      <c r="C60" s="393"/>
      <c r="D60" s="393"/>
      <c r="E60" s="357"/>
      <c r="F60" s="425"/>
      <c r="G60" s="426"/>
      <c r="H60" s="426"/>
      <c r="I60" s="427"/>
    </row>
    <row r="61" spans="1:12" s="306" customFormat="1" ht="45" hidden="1" customHeight="1" x14ac:dyDescent="0.25">
      <c r="A61" s="392" t="s">
        <v>143</v>
      </c>
      <c r="B61" s="393"/>
      <c r="C61" s="393"/>
      <c r="D61" s="393"/>
      <c r="E61" s="358"/>
      <c r="F61" s="389"/>
      <c r="G61" s="390"/>
      <c r="H61" s="390"/>
      <c r="I61" s="391"/>
    </row>
    <row r="62" spans="1:12" s="306" customFormat="1" ht="45" hidden="1" customHeight="1" x14ac:dyDescent="0.25">
      <c r="A62" s="392" t="s">
        <v>144</v>
      </c>
      <c r="B62" s="393"/>
      <c r="C62" s="393"/>
      <c r="D62" s="393"/>
      <c r="E62" s="358"/>
      <c r="F62" s="389"/>
      <c r="G62" s="390"/>
      <c r="H62" s="390"/>
      <c r="I62" s="391"/>
    </row>
    <row r="63" spans="1:12" s="306" customFormat="1" ht="45" hidden="1" customHeight="1" x14ac:dyDescent="0.25">
      <c r="A63" s="392" t="s">
        <v>145</v>
      </c>
      <c r="B63" s="393"/>
      <c r="C63" s="393"/>
      <c r="D63" s="393"/>
      <c r="E63" s="358"/>
      <c r="F63" s="359"/>
      <c r="G63" s="360"/>
      <c r="H63" s="360"/>
      <c r="I63" s="361"/>
    </row>
    <row r="64" spans="1:12" s="306" customFormat="1" ht="45" hidden="1" customHeight="1" x14ac:dyDescent="0.25">
      <c r="A64" s="392" t="s">
        <v>139</v>
      </c>
      <c r="B64" s="393"/>
      <c r="C64" s="393"/>
      <c r="D64" s="393"/>
      <c r="E64" s="358"/>
      <c r="F64" s="389"/>
      <c r="G64" s="390"/>
      <c r="H64" s="390"/>
      <c r="I64" s="391"/>
    </row>
    <row r="65" spans="1:9" s="306" customFormat="1" ht="45" hidden="1" customHeight="1" x14ac:dyDescent="0.25">
      <c r="A65" s="392" t="s">
        <v>135</v>
      </c>
      <c r="B65" s="393"/>
      <c r="C65" s="393"/>
      <c r="D65" s="393"/>
      <c r="E65" s="358"/>
      <c r="F65" s="389"/>
      <c r="G65" s="390"/>
      <c r="H65" s="390"/>
      <c r="I65" s="391"/>
    </row>
    <row r="66" spans="1:9" s="306" customFormat="1" ht="45" hidden="1" customHeight="1" x14ac:dyDescent="0.25">
      <c r="A66" s="392" t="s">
        <v>146</v>
      </c>
      <c r="B66" s="393"/>
      <c r="C66" s="393"/>
      <c r="D66" s="393"/>
      <c r="E66" s="358"/>
      <c r="F66" s="389"/>
      <c r="G66" s="390"/>
      <c r="H66" s="390"/>
      <c r="I66" s="391"/>
    </row>
    <row r="67" spans="1:9" s="306" customFormat="1" ht="45" hidden="1" customHeight="1" x14ac:dyDescent="0.25">
      <c r="A67" s="392" t="s">
        <v>140</v>
      </c>
      <c r="B67" s="393"/>
      <c r="C67" s="393"/>
      <c r="D67" s="393"/>
      <c r="E67" s="358"/>
      <c r="F67" s="389"/>
      <c r="G67" s="390"/>
      <c r="H67" s="390"/>
      <c r="I67" s="391"/>
    </row>
    <row r="68" spans="1:9" s="306" customFormat="1" ht="45" hidden="1" customHeight="1" x14ac:dyDescent="0.25">
      <c r="A68" s="392" t="s">
        <v>136</v>
      </c>
      <c r="B68" s="393"/>
      <c r="C68" s="393"/>
      <c r="D68" s="393"/>
      <c r="E68" s="358"/>
      <c r="F68" s="389"/>
      <c r="G68" s="390"/>
      <c r="H68" s="390"/>
      <c r="I68" s="391"/>
    </row>
    <row r="69" spans="1:9" s="306" customFormat="1" ht="45" hidden="1" customHeight="1" x14ac:dyDescent="0.25">
      <c r="A69" s="392" t="s">
        <v>137</v>
      </c>
      <c r="B69" s="393"/>
      <c r="C69" s="393"/>
      <c r="D69" s="393"/>
      <c r="E69" s="358"/>
      <c r="F69" s="389"/>
      <c r="G69" s="390"/>
      <c r="H69" s="390"/>
      <c r="I69" s="391"/>
    </row>
    <row r="70" spans="1:9" s="306" customFormat="1" ht="45" hidden="1" customHeight="1" thickBot="1" x14ac:dyDescent="0.3">
      <c r="A70" s="394" t="s">
        <v>141</v>
      </c>
      <c r="B70" s="395"/>
      <c r="C70" s="395"/>
      <c r="D70" s="395"/>
      <c r="E70" s="362"/>
      <c r="F70" s="396"/>
      <c r="G70" s="397"/>
      <c r="H70" s="397"/>
      <c r="I70" s="398"/>
    </row>
    <row r="71" spans="1:9" s="306" customFormat="1" hidden="1" x14ac:dyDescent="0.25">
      <c r="A71" s="363"/>
      <c r="B71" s="363"/>
      <c r="C71" s="363"/>
      <c r="D71" s="363"/>
    </row>
    <row r="72" spans="1:9" s="306" customFormat="1" hidden="1" x14ac:dyDescent="0.25"/>
    <row r="73" spans="1:9" s="306" customFormat="1" ht="100.15" customHeight="1" x14ac:dyDescent="0.25">
      <c r="A73" s="388" t="s">
        <v>261</v>
      </c>
      <c r="B73" s="388"/>
      <c r="C73" s="388"/>
      <c r="D73" s="388"/>
      <c r="E73" s="388"/>
      <c r="F73" s="388"/>
      <c r="G73" s="388"/>
    </row>
    <row r="74" spans="1:9" s="306" customFormat="1" x14ac:dyDescent="0.25"/>
  </sheetData>
  <sheetProtection algorithmName="SHA-512" hashValue="jInkovmDyzsGEpeR9yi6JjukC4GCKie2jteBvkg+V3u6LBRZmRHLS8SAMjT45bK4NMa/zx/+C4wK6STyTKKCsw==" saltValue="E4guECeHslbnuONo8ng3wg==" spinCount="100000" sheet="1" selectLockedCells="1"/>
  <mergeCells count="50">
    <mergeCell ref="E42:F42"/>
    <mergeCell ref="E43:F43"/>
    <mergeCell ref="A62:D62"/>
    <mergeCell ref="A63:D63"/>
    <mergeCell ref="F59:I59"/>
    <mergeCell ref="F60:I60"/>
    <mergeCell ref="E44:F44"/>
    <mergeCell ref="E45:F45"/>
    <mergeCell ref="E46:F46"/>
    <mergeCell ref="E47:F47"/>
    <mergeCell ref="E48:F48"/>
    <mergeCell ref="A59:D59"/>
    <mergeCell ref="A60:D60"/>
    <mergeCell ref="F65:I65"/>
    <mergeCell ref="F64:I64"/>
    <mergeCell ref="A66:D66"/>
    <mergeCell ref="A64:D64"/>
    <mergeCell ref="F66:I66"/>
    <mergeCell ref="B3:E3"/>
    <mergeCell ref="B4:E4"/>
    <mergeCell ref="E25:F25"/>
    <mergeCell ref="A21:C21"/>
    <mergeCell ref="A22:C22"/>
    <mergeCell ref="A24:C24"/>
    <mergeCell ref="A23:C23"/>
    <mergeCell ref="E22:F22"/>
    <mergeCell ref="E23:F23"/>
    <mergeCell ref="E24:F24"/>
    <mergeCell ref="E21:F21"/>
    <mergeCell ref="A20:C20"/>
    <mergeCell ref="C6:D6"/>
    <mergeCell ref="C7:D7"/>
    <mergeCell ref="E7:F7"/>
    <mergeCell ref="E8:F8"/>
    <mergeCell ref="E6:F6"/>
    <mergeCell ref="E20:F20"/>
    <mergeCell ref="C8:D8"/>
    <mergeCell ref="A73:G73"/>
    <mergeCell ref="F69:I69"/>
    <mergeCell ref="F68:I68"/>
    <mergeCell ref="A68:D68"/>
    <mergeCell ref="A69:D69"/>
    <mergeCell ref="A70:D70"/>
    <mergeCell ref="F70:I70"/>
    <mergeCell ref="F61:I61"/>
    <mergeCell ref="F62:I62"/>
    <mergeCell ref="A61:D61"/>
    <mergeCell ref="A67:D67"/>
    <mergeCell ref="F67:I67"/>
    <mergeCell ref="A65:D65"/>
  </mergeCells>
  <conditionalFormatting sqref="B37">
    <cfRule type="cellIs" dxfId="7" priority="8" operator="equal">
      <formula>"AIP"</formula>
    </cfRule>
    <cfRule type="cellIs" dxfId="6" priority="9" operator="equal">
      <formula>"Refer"</formula>
    </cfRule>
    <cfRule type="cellIs" dxfId="5" priority="10" operator="equal">
      <formula>"Declined"</formula>
    </cfRule>
  </conditionalFormatting>
  <conditionalFormatting sqref="J31:K35">
    <cfRule type="top10" dxfId="4" priority="5" rank="1"/>
  </conditionalFormatting>
  <conditionalFormatting sqref="J35">
    <cfRule type="top10" dxfId="3" priority="4" rank="1"/>
  </conditionalFormatting>
  <conditionalFormatting sqref="L31:L35">
    <cfRule type="top10" dxfId="2" priority="2" rank="1"/>
  </conditionalFormatting>
  <dataValidations xWindow="312" yWindow="735" count="9">
    <dataValidation type="whole" allowBlank="1" showErrorMessage="1" errorTitle="Requested Term exceeds Maximum" promptTitle="Requested Term" prompt="Please input a term equal to or below the Max Term" sqref="B36 B33:B34" xr:uid="{00000000-0002-0000-0000-000000000000}">
      <formula1>0</formula1>
      <formula2>D33</formula2>
    </dataValidation>
    <dataValidation type="list" showInputMessage="1" showErrorMessage="1" sqref="B41" xr:uid="{00000000-0002-0000-0000-000001000000}">
      <formula1>Available_Products</formula1>
    </dataValidation>
    <dataValidation type="list" allowBlank="1" showInputMessage="1" showErrorMessage="1" sqref="D29" xr:uid="{00000000-0002-0000-0000-000002000000}">
      <formula1>"No, Yes"</formula1>
    </dataValidation>
    <dataValidation type="list" allowBlank="1" showInputMessage="1" showErrorMessage="1" sqref="B29" xr:uid="{00000000-0002-0000-0000-000003000000}">
      <formula1>"Purchase, Remortgage"</formula1>
    </dataValidation>
    <dataValidation type="list" showInputMessage="1" showErrorMessage="1" sqref="B11:C11" xr:uid="{00000000-0002-0000-0000-000004000000}">
      <formula1>"No, Yes"</formula1>
    </dataValidation>
    <dataValidation type="list" allowBlank="1" showInputMessage="1" showErrorMessage="1" sqref="B7:B8" xr:uid="{00000000-0002-0000-0000-000005000000}">
      <formula1>Title</formula1>
    </dataValidation>
    <dataValidation type="list" allowBlank="1" showInputMessage="1" showErrorMessage="1" sqref="F1" xr:uid="{00000000-0002-0000-0000-000006000000}">
      <formula1>Island_Names</formula1>
    </dataValidation>
    <dataValidation type="list" showInputMessage="1" showErrorMessage="1" sqref="B27" xr:uid="{00000000-0002-0000-0000-000007000000}">
      <formula1>"0,1,2,3,4,5,6,7,8,9"</formula1>
    </dataValidation>
    <dataValidation type="list" allowBlank="1" showInputMessage="1" showErrorMessage="1" sqref="F31" xr:uid="{DE325825-61B3-4419-A7E4-7B009793E982}">
      <formula1>Yes_No_Switch</formula1>
    </dataValidation>
  </dataValidations>
  <printOptions horizontalCentered="1" verticalCentered="1"/>
  <pageMargins left="0.70866141732283472" right="0.51181102362204722" top="0.74803149606299213" bottom="0.74803149606299213" header="0.31496062992125984" footer="0.31496062992125984"/>
  <pageSetup paperSize="9" scale="82" orientation="portrait" r:id="rId1"/>
  <drawing r:id="rId2"/>
  <extLst>
    <ext xmlns:x14="http://schemas.microsoft.com/office/spreadsheetml/2009/9/main" uri="{CCE6A557-97BC-4b89-ADB6-D9C93CAAB3DF}">
      <x14:dataValidations xmlns:xm="http://schemas.microsoft.com/office/excel/2006/main" xWindow="312" yWindow="735" count="1">
        <x14:dataValidation type="list" allowBlank="1" showInputMessage="1" showErrorMessage="1" xr:uid="{ED7261E3-B763-41C1-A137-9BF40480C69D}">
          <x14:formula1>
            <xm:f>'Metrics &amp; Drop Downs'!$H$93:$H$94</xm:f>
          </x14:formula1>
          <xm:sqref>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1"/>
  <sheetViews>
    <sheetView topLeftCell="A25" workbookViewId="0">
      <selection activeCell="E10" sqref="E10"/>
    </sheetView>
  </sheetViews>
  <sheetFormatPr defaultRowHeight="15" x14ac:dyDescent="0.25"/>
  <cols>
    <col min="1" max="1" width="32.5703125" customWidth="1"/>
    <col min="2" max="2" width="21.28515625" style="5" customWidth="1"/>
    <col min="3" max="3" width="3.42578125" customWidth="1"/>
    <col min="4" max="4" width="34.42578125" customWidth="1"/>
    <col min="5" max="5" width="10.7109375" style="5" bestFit="1" customWidth="1"/>
  </cols>
  <sheetData>
    <row r="1" spans="1:5" x14ac:dyDescent="0.25">
      <c r="A1" t="s">
        <v>183</v>
      </c>
      <c r="B1" s="5" t="s">
        <v>184</v>
      </c>
    </row>
    <row r="3" spans="1:5" x14ac:dyDescent="0.25">
      <c r="A3" t="s">
        <v>228</v>
      </c>
      <c r="B3" s="5" t="str">
        <f>'AIP Indicator'!F1</f>
        <v>Jersey</v>
      </c>
    </row>
    <row r="5" spans="1:5" x14ac:dyDescent="0.25">
      <c r="A5" t="s">
        <v>225</v>
      </c>
      <c r="B5" s="5">
        <f>'AIP Indicator'!B3</f>
        <v>0</v>
      </c>
    </row>
    <row r="6" spans="1:5" x14ac:dyDescent="0.25">
      <c r="A6" t="s">
        <v>226</v>
      </c>
      <c r="B6" s="5">
        <f>'AIP Indicator'!B4</f>
        <v>0</v>
      </c>
    </row>
    <row r="7" spans="1:5" x14ac:dyDescent="0.25">
      <c r="A7" t="s">
        <v>227</v>
      </c>
      <c r="B7" s="132">
        <f>'AIP Indicator'!G3</f>
        <v>0</v>
      </c>
    </row>
    <row r="9" spans="1:5" x14ac:dyDescent="0.25">
      <c r="A9" t="s">
        <v>185</v>
      </c>
      <c r="B9" s="151">
        <f>'AIP Indicator'!B7</f>
        <v>0</v>
      </c>
      <c r="D9" t="s">
        <v>189</v>
      </c>
      <c r="E9" s="5">
        <f>'AIP Indicator'!B8</f>
        <v>0</v>
      </c>
    </row>
    <row r="10" spans="1:5" x14ac:dyDescent="0.25">
      <c r="A10" t="s">
        <v>186</v>
      </c>
      <c r="B10" s="151">
        <f>'AIP Indicator'!C7</f>
        <v>0</v>
      </c>
      <c r="D10" t="s">
        <v>190</v>
      </c>
      <c r="E10" s="5">
        <f>'AIP Indicator'!C8</f>
        <v>0</v>
      </c>
    </row>
    <row r="11" spans="1:5" x14ac:dyDescent="0.25">
      <c r="A11" t="s">
        <v>187</v>
      </c>
      <c r="B11" s="151">
        <f>'AIP Indicator'!E7</f>
        <v>0</v>
      </c>
      <c r="D11" t="s">
        <v>191</v>
      </c>
      <c r="E11" s="5">
        <f>'AIP Indicator'!E8</f>
        <v>0</v>
      </c>
    </row>
    <row r="12" spans="1:5" x14ac:dyDescent="0.25">
      <c r="A12" t="s">
        <v>188</v>
      </c>
      <c r="B12" s="132">
        <f>'AIP Indicator'!G7</f>
        <v>0</v>
      </c>
      <c r="D12" t="s">
        <v>192</v>
      </c>
      <c r="E12" s="132">
        <f>'AIP Indicator'!G8</f>
        <v>0</v>
      </c>
    </row>
    <row r="13" spans="1:5" x14ac:dyDescent="0.25">
      <c r="A13" t="s">
        <v>193</v>
      </c>
      <c r="B13" s="5" t="str">
        <f>'AIP Indicator'!B11</f>
        <v>No</v>
      </c>
      <c r="D13" t="s">
        <v>199</v>
      </c>
      <c r="E13" s="5" t="str">
        <f>'AIP Indicator'!C11</f>
        <v>No</v>
      </c>
    </row>
    <row r="14" spans="1:5" x14ac:dyDescent="0.25">
      <c r="A14" t="s">
        <v>194</v>
      </c>
      <c r="B14" s="5">
        <f>'AIP Indicator'!B12</f>
        <v>0</v>
      </c>
      <c r="D14" t="s">
        <v>200</v>
      </c>
      <c r="E14" s="5">
        <f>'AIP Indicator'!C12</f>
        <v>0</v>
      </c>
    </row>
    <row r="15" spans="1:5" x14ac:dyDescent="0.25">
      <c r="A15" t="s">
        <v>195</v>
      </c>
      <c r="B15" s="5">
        <f>'AIP Indicator'!B13</f>
        <v>0</v>
      </c>
      <c r="D15" t="s">
        <v>201</v>
      </c>
      <c r="E15" s="5">
        <f>'AIP Indicator'!C13</f>
        <v>0</v>
      </c>
    </row>
    <row r="16" spans="1:5" x14ac:dyDescent="0.25">
      <c r="A16" t="s">
        <v>196</v>
      </c>
      <c r="B16" s="5">
        <f>'AIP Indicator'!B14</f>
        <v>0</v>
      </c>
      <c r="D16" t="s">
        <v>202</v>
      </c>
      <c r="E16" s="5">
        <f>'AIP Indicator'!C14</f>
        <v>0</v>
      </c>
    </row>
    <row r="17" spans="1:5" x14ac:dyDescent="0.25">
      <c r="A17" t="s">
        <v>197</v>
      </c>
      <c r="B17" s="5">
        <f>'AIP Indicator'!B15</f>
        <v>0</v>
      </c>
      <c r="D17" t="s">
        <v>203</v>
      </c>
      <c r="E17" s="5">
        <f>'AIP Indicator'!C15</f>
        <v>0</v>
      </c>
    </row>
    <row r="18" spans="1:5" x14ac:dyDescent="0.25">
      <c r="A18" t="s">
        <v>198</v>
      </c>
      <c r="B18" s="5">
        <f>'AIP Indicator'!B16</f>
        <v>0</v>
      </c>
      <c r="D18" t="s">
        <v>204</v>
      </c>
      <c r="E18" s="5">
        <f>'AIP Indicator'!C16</f>
        <v>0</v>
      </c>
    </row>
    <row r="20" spans="1:5" x14ac:dyDescent="0.25">
      <c r="A20" t="s">
        <v>205</v>
      </c>
      <c r="B20" s="5">
        <f>'AIP Indicator'!A21</f>
        <v>0</v>
      </c>
    </row>
    <row r="21" spans="1:5" x14ac:dyDescent="0.25">
      <c r="A21" t="s">
        <v>206</v>
      </c>
      <c r="B21" s="5">
        <f>'AIP Indicator'!D21</f>
        <v>0</v>
      </c>
    </row>
    <row r="22" spans="1:5" x14ac:dyDescent="0.25">
      <c r="A22" t="s">
        <v>207</v>
      </c>
      <c r="B22" s="5">
        <f>'AIP Indicator'!E21</f>
        <v>0</v>
      </c>
    </row>
    <row r="23" spans="1:5" x14ac:dyDescent="0.25">
      <c r="A23" t="s">
        <v>208</v>
      </c>
      <c r="B23" s="133">
        <f>'AIP Indicator'!G21</f>
        <v>0</v>
      </c>
    </row>
    <row r="24" spans="1:5" x14ac:dyDescent="0.25">
      <c r="A24" t="s">
        <v>209</v>
      </c>
      <c r="B24" s="5">
        <f>'AIP Indicator'!A22</f>
        <v>0</v>
      </c>
    </row>
    <row r="25" spans="1:5" x14ac:dyDescent="0.25">
      <c r="A25" t="s">
        <v>210</v>
      </c>
      <c r="B25" s="5">
        <f>'AIP Indicator'!D22</f>
        <v>0</v>
      </c>
    </row>
    <row r="26" spans="1:5" x14ac:dyDescent="0.25">
      <c r="A26" t="s">
        <v>211</v>
      </c>
      <c r="B26" s="5">
        <f>'AIP Indicator'!E22</f>
        <v>0</v>
      </c>
    </row>
    <row r="27" spans="1:5" x14ac:dyDescent="0.25">
      <c r="A27" t="s">
        <v>212</v>
      </c>
      <c r="B27" s="133">
        <f>'AIP Indicator'!G22</f>
        <v>0</v>
      </c>
    </row>
    <row r="28" spans="1:5" x14ac:dyDescent="0.25">
      <c r="A28" t="s">
        <v>213</v>
      </c>
      <c r="B28" s="5">
        <f>'AIP Indicator'!A23</f>
        <v>0</v>
      </c>
    </row>
    <row r="29" spans="1:5" x14ac:dyDescent="0.25">
      <c r="A29" t="s">
        <v>214</v>
      </c>
      <c r="B29" s="5">
        <f>'AIP Indicator'!D23</f>
        <v>0</v>
      </c>
    </row>
    <row r="30" spans="1:5" x14ac:dyDescent="0.25">
      <c r="A30" t="s">
        <v>215</v>
      </c>
      <c r="B30" s="5">
        <f>'AIP Indicator'!E23</f>
        <v>0</v>
      </c>
    </row>
    <row r="31" spans="1:5" x14ac:dyDescent="0.25">
      <c r="A31" t="s">
        <v>216</v>
      </c>
      <c r="B31" s="133">
        <f>'AIP Indicator'!G23</f>
        <v>0</v>
      </c>
    </row>
    <row r="32" spans="1:5" x14ac:dyDescent="0.25">
      <c r="A32" t="s">
        <v>217</v>
      </c>
      <c r="B32" s="5">
        <f>'AIP Indicator'!A24</f>
        <v>0</v>
      </c>
    </row>
    <row r="33" spans="1:2" x14ac:dyDescent="0.25">
      <c r="A33" t="s">
        <v>218</v>
      </c>
      <c r="B33" s="5">
        <f>'AIP Indicator'!D24</f>
        <v>0</v>
      </c>
    </row>
    <row r="34" spans="1:2" x14ac:dyDescent="0.25">
      <c r="A34" t="s">
        <v>219</v>
      </c>
      <c r="B34" s="5">
        <f>'AIP Indicator'!E24</f>
        <v>0</v>
      </c>
    </row>
    <row r="35" spans="1:2" x14ac:dyDescent="0.25">
      <c r="A35" t="s">
        <v>220</v>
      </c>
      <c r="B35" s="133">
        <f>'AIP Indicator'!G24</f>
        <v>0</v>
      </c>
    </row>
    <row r="37" spans="1:2" x14ac:dyDescent="0.25">
      <c r="A37" t="s">
        <v>221</v>
      </c>
      <c r="B37" s="5">
        <f>IF(Mortgage_Type="Purchase",'AIP Indicator'!B35, 'AIP Indicator'!B31)</f>
        <v>0</v>
      </c>
    </row>
    <row r="39" spans="1:2" x14ac:dyDescent="0.25">
      <c r="A39" t="s">
        <v>222</v>
      </c>
      <c r="B39" s="5" t="str">
        <f>'AIP Indicator'!D29</f>
        <v>No</v>
      </c>
    </row>
    <row r="40" spans="1:2" x14ac:dyDescent="0.25">
      <c r="A40" t="s">
        <v>223</v>
      </c>
      <c r="B40" s="5">
        <f>'AIP Indicator'!F29</f>
        <v>0</v>
      </c>
    </row>
    <row r="42" spans="1:2" x14ac:dyDescent="0.25">
      <c r="A42" t="s">
        <v>20</v>
      </c>
    </row>
    <row r="44" spans="1:2" x14ac:dyDescent="0.25">
      <c r="A44" t="s">
        <v>21</v>
      </c>
      <c r="B44" s="5">
        <f>'AIP Indicator'!B32</f>
        <v>0</v>
      </c>
    </row>
    <row r="45" spans="1:2" x14ac:dyDescent="0.25">
      <c r="A45" t="s">
        <v>224</v>
      </c>
      <c r="B45" s="5">
        <f>'AIP Indicator'!B33</f>
        <v>0</v>
      </c>
    </row>
    <row r="47" spans="1:2" x14ac:dyDescent="0.25">
      <c r="A47" s="155" t="s">
        <v>20</v>
      </c>
      <c r="B47" s="5" t="str">
        <f>'AIP Indicator'!B29</f>
        <v>Purchase</v>
      </c>
    </row>
    <row r="49" spans="1:2" x14ac:dyDescent="0.25">
      <c r="A49" s="155" t="s">
        <v>85</v>
      </c>
      <c r="B49" s="5">
        <f>IF(Mortgage_Type="Purchase",'AIP Indicator'!B31, 0)</f>
        <v>0</v>
      </c>
    </row>
    <row r="51" spans="1:2" x14ac:dyDescent="0.25">
      <c r="A51" s="155" t="s">
        <v>293</v>
      </c>
      <c r="B51" s="5">
        <f>'AIP Indicator'!B27</f>
        <v>0</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P116"/>
  <sheetViews>
    <sheetView zoomScaleNormal="100" workbookViewId="0">
      <selection activeCell="F17" sqref="F17"/>
    </sheetView>
  </sheetViews>
  <sheetFormatPr defaultRowHeight="15" x14ac:dyDescent="0.25"/>
  <cols>
    <col min="1" max="1" width="33.42578125" customWidth="1"/>
    <col min="2" max="2" width="12" customWidth="1"/>
    <col min="3" max="3" width="22.28515625" customWidth="1"/>
    <col min="4" max="4" width="12.7109375" customWidth="1"/>
    <col min="5" max="5" width="11.5703125" customWidth="1"/>
    <col min="6" max="6" width="40.7109375" customWidth="1"/>
    <col min="7" max="7" width="10.28515625" bestFit="1" customWidth="1"/>
    <col min="8" max="8" width="12" customWidth="1"/>
    <col min="9" max="9" width="11.28515625" style="203" bestFit="1" customWidth="1"/>
    <col min="10" max="10" width="9.7109375" customWidth="1"/>
    <col min="11" max="12" width="10.5703125" customWidth="1"/>
    <col min="16" max="16" width="9.28515625" style="137"/>
    <col min="18" max="18" width="9.28515625" style="155"/>
    <col min="19" max="19" width="9.28515625" style="161"/>
    <col min="20" max="20" width="3.42578125" style="138" customWidth="1"/>
    <col min="21" max="21" width="38.5703125" bestFit="1" customWidth="1"/>
    <col min="22" max="23" width="10.7109375" customWidth="1"/>
    <col min="24" max="24" width="12" customWidth="1"/>
    <col min="25" max="25" width="2.7109375" style="138" customWidth="1"/>
    <col min="26" max="26" width="3.28515625" style="136" customWidth="1"/>
    <col min="27" max="27" width="10.7109375" style="138" bestFit="1" customWidth="1"/>
    <col min="28" max="29" width="10.7109375" style="138" customWidth="1"/>
    <col min="30" max="30" width="12" style="138" customWidth="1"/>
    <col min="31" max="31" width="2.42578125" customWidth="1"/>
    <col min="33" max="33" width="25.5703125" customWidth="1"/>
    <col min="34" max="34" width="9.28515625" style="141"/>
    <col min="35" max="35" width="9.28515625" style="142"/>
    <col min="37" max="37" width="9.28515625" style="155"/>
    <col min="38" max="38" width="4" customWidth="1"/>
    <col min="39" max="39" width="38.5703125" bestFit="1" customWidth="1"/>
    <col min="40" max="40" width="9.28515625" style="141"/>
    <col min="41" max="41" width="9.28515625" style="142"/>
  </cols>
  <sheetData>
    <row r="1" spans="1:42" x14ac:dyDescent="0.25">
      <c r="A1" t="s">
        <v>320</v>
      </c>
      <c r="B1" s="365" t="s">
        <v>102</v>
      </c>
    </row>
    <row r="2" spans="1:42" x14ac:dyDescent="0.25">
      <c r="K2" s="432" t="s">
        <v>99</v>
      </c>
      <c r="L2" s="432"/>
      <c r="M2" s="432"/>
      <c r="N2" s="433" t="s">
        <v>278</v>
      </c>
      <c r="O2" s="433"/>
      <c r="U2" s="6" t="s">
        <v>105</v>
      </c>
      <c r="V2" s="7" t="s">
        <v>23</v>
      </c>
      <c r="W2" s="7" t="s">
        <v>182</v>
      </c>
      <c r="X2" s="8" t="s">
        <v>104</v>
      </c>
      <c r="Y2" s="11"/>
      <c r="Z2" s="32"/>
      <c r="AA2" s="6" t="s">
        <v>105</v>
      </c>
      <c r="AB2" s="7" t="s">
        <v>23</v>
      </c>
      <c r="AC2" s="7" t="s">
        <v>182</v>
      </c>
      <c r="AD2" s="8" t="s">
        <v>104</v>
      </c>
      <c r="AG2" s="6" t="s">
        <v>234</v>
      </c>
      <c r="AH2" s="146"/>
      <c r="AI2" s="147"/>
      <c r="AJ2" s="8"/>
      <c r="AK2" s="11"/>
      <c r="AM2" s="6" t="s">
        <v>235</v>
      </c>
      <c r="AN2" s="146"/>
      <c r="AO2" s="147"/>
      <c r="AP2" s="8"/>
    </row>
    <row r="3" spans="1:42" x14ac:dyDescent="0.25">
      <c r="A3" s="16" t="s">
        <v>7</v>
      </c>
      <c r="C3" s="6" t="s">
        <v>176</v>
      </c>
      <c r="D3" s="103">
        <v>100000</v>
      </c>
      <c r="F3" s="6" t="s">
        <v>22</v>
      </c>
      <c r="G3" s="214" t="s">
        <v>23</v>
      </c>
      <c r="H3" s="214" t="s">
        <v>182</v>
      </c>
      <c r="I3" s="204" t="s">
        <v>233</v>
      </c>
      <c r="J3" s="214" t="s">
        <v>27</v>
      </c>
      <c r="K3" s="68" t="s">
        <v>100</v>
      </c>
      <c r="L3" s="68" t="s">
        <v>174</v>
      </c>
      <c r="M3" s="68" t="s">
        <v>101</v>
      </c>
      <c r="N3" s="68" t="s">
        <v>100</v>
      </c>
      <c r="O3" s="68" t="s">
        <v>101</v>
      </c>
      <c r="P3" s="68" t="s">
        <v>153</v>
      </c>
      <c r="Q3" s="68" t="s">
        <v>253</v>
      </c>
      <c r="R3" s="69" t="s">
        <v>322</v>
      </c>
      <c r="U3" s="139"/>
      <c r="V3" s="11"/>
      <c r="W3" s="11"/>
      <c r="X3" s="140"/>
      <c r="Y3" s="11"/>
      <c r="Z3" s="32"/>
      <c r="AA3" s="139"/>
      <c r="AB3" s="11"/>
      <c r="AC3" s="11"/>
      <c r="AD3" s="140"/>
      <c r="AG3" s="139"/>
      <c r="AH3" s="144"/>
      <c r="AI3" s="18"/>
      <c r="AJ3" s="140"/>
      <c r="AK3" s="11"/>
      <c r="AM3" s="139"/>
      <c r="AN3" s="144"/>
      <c r="AO3" s="18"/>
      <c r="AP3" s="140"/>
    </row>
    <row r="4" spans="1:42" x14ac:dyDescent="0.25">
      <c r="A4" s="71" t="s">
        <v>4</v>
      </c>
      <c r="C4" s="216" t="s">
        <v>177</v>
      </c>
      <c r="D4" s="99">
        <v>90000</v>
      </c>
      <c r="F4" s="375" t="s">
        <v>161</v>
      </c>
      <c r="G4" s="376">
        <v>5.3400000000000003E-2</v>
      </c>
      <c r="H4" s="377">
        <v>4.4900000000000002E-2</v>
      </c>
      <c r="I4" s="378">
        <v>0</v>
      </c>
      <c r="J4" s="379">
        <v>0.9</v>
      </c>
      <c r="K4" s="380" t="s">
        <v>103</v>
      </c>
      <c r="L4" s="380" t="s">
        <v>103</v>
      </c>
      <c r="M4" s="380" t="s">
        <v>103</v>
      </c>
      <c r="N4" s="381">
        <v>0</v>
      </c>
      <c r="O4" s="381">
        <v>0</v>
      </c>
      <c r="P4" s="382" t="s">
        <v>103</v>
      </c>
      <c r="Q4" s="383"/>
      <c r="R4" s="384" t="s">
        <v>103</v>
      </c>
      <c r="S4" s="161" t="str">
        <f>IF(Buy_to_Let="Yes",IF(P4="Yes", Rent_mth/BTL_Affordability*12/Q4,""), "")</f>
        <v/>
      </c>
      <c r="T4" s="32" t="str">
        <f>IF(U4="", "", MAX(T$3:$T3)+1)</f>
        <v/>
      </c>
      <c r="U4" s="216" t="str">
        <f>IF(Buy_to_Let=P4,IF(Island="Jersey", IF(M4="Yes", F4, ""), IF(Island="GHA",IF(L4="Yes", F4, ""), IF(K4="Yes", F4, ""))), "")</f>
        <v/>
      </c>
      <c r="V4" s="127" t="str">
        <f>IF($U4="", "", G4)</f>
        <v/>
      </c>
      <c r="W4" s="29" t="str">
        <f>IF($U4="", "", H4)</f>
        <v/>
      </c>
      <c r="X4" s="218" t="str">
        <f>IF($U4="", "", IF(Island="Jersey", O4, N4))</f>
        <v/>
      </c>
      <c r="Y4" s="11" t="str">
        <f>IF(U4="","","|")</f>
        <v/>
      </c>
      <c r="Z4" s="32"/>
      <c r="AA4" s="139" t="e">
        <f>IF(Buy_to_Let="Yes", IF(AND(LTV&lt;=$J4, LTV&gt;=$I4, Amount_Requested&lt;=S4),U4, ""), IF(AND(LTV&lt;=$J4, LTV&gt;=$I4),U4, ""))</f>
        <v>#DIV/0!</v>
      </c>
      <c r="AB4" s="127"/>
      <c r="AC4" s="29"/>
      <c r="AD4" s="140"/>
      <c r="AE4" s="138"/>
      <c r="AG4" s="139" t="str">
        <f>IFERROR(INDEX(AA$4:AA$31,MATCH(ROW()-ROW(AG$3),$Z$4:$Z$31,0)),"")</f>
        <v/>
      </c>
      <c r="AH4" s="144" t="str">
        <f>IFERROR(INDEX(AB$4:AB$31,MATCH(ROW()-ROW(AH$3),$Z$4:$Z$31,0)),"")</f>
        <v/>
      </c>
      <c r="AI4" s="18" t="str">
        <f>IFERROR(INDEX(AC$4:AC$31,MATCH(ROW()-ROW(AI$3),$Z$4:$Z$31,0)),"")</f>
        <v/>
      </c>
      <c r="AJ4" s="140" t="str">
        <f>IFERROR(INDEX(AD$4:AD$31,MATCH(ROW()-ROW(AJ$3),$Z$4:$Z$31,0)),"")</f>
        <v/>
      </c>
      <c r="AK4" s="156" t="str">
        <f>IF(ISERR(C_and_I), "", C_and_I)</f>
        <v/>
      </c>
      <c r="AL4" s="156" t="str">
        <f>IF(AG4="","","|")</f>
        <v/>
      </c>
      <c r="AM4" s="139" t="str">
        <f>IFERROR(INDEX(U$4:U$30,MATCH(ROW()-ROW(AM$3),$T$4:$T$30,0)),"")</f>
        <v>3 Yr Base Rate Tracker to 75% LTV (T0037)</v>
      </c>
      <c r="AN4" s="144">
        <f>IFERROR(INDEX(V$4:V$30,MATCH(ROW()-ROW(AN$3),$T$4:$T$30,0)),"")</f>
        <v>5.6899999999999999E-2</v>
      </c>
      <c r="AO4" s="18">
        <f>IFERROR(INDEX(W$4:W$30,MATCH(ROW()-ROW(AO$3),$T$4:$T$30,0)),"")</f>
        <v>5.5E-2</v>
      </c>
      <c r="AP4" s="140">
        <f>IFERROR(INDEX(X$4:X$30,MATCH(ROW()-ROW(AP$3),$T$4:$T$30,0)),"")</f>
        <v>0</v>
      </c>
    </row>
    <row r="5" spans="1:42" x14ac:dyDescent="0.25">
      <c r="A5" s="71" t="s">
        <v>5</v>
      </c>
      <c r="C5" s="216" t="s">
        <v>178</v>
      </c>
      <c r="D5" s="99">
        <v>100000</v>
      </c>
      <c r="F5" s="375" t="s">
        <v>333</v>
      </c>
      <c r="G5" s="376">
        <v>5.6899999999999999E-2</v>
      </c>
      <c r="H5" s="377">
        <v>5.5E-2</v>
      </c>
      <c r="I5" s="378">
        <v>9.9999999999999995E-7</v>
      </c>
      <c r="J5" s="379">
        <v>0.75</v>
      </c>
      <c r="K5" s="380" t="s">
        <v>102</v>
      </c>
      <c r="L5" s="380" t="s">
        <v>103</v>
      </c>
      <c r="M5" s="380" t="s">
        <v>102</v>
      </c>
      <c r="N5" s="381">
        <v>0</v>
      </c>
      <c r="O5" s="381">
        <v>0</v>
      </c>
      <c r="P5" s="382" t="s">
        <v>103</v>
      </c>
      <c r="Q5" s="383"/>
      <c r="R5" s="384" t="s">
        <v>102</v>
      </c>
      <c r="S5" s="161" t="str">
        <f>IF(Buy_to_Let="Yes",IF(P5="Yes", Rent_mth/BTL_Affordability*12/Q5,""), "")</f>
        <v/>
      </c>
      <c r="T5" s="32">
        <f>IF(U5="", "", MAX(T$3:$T4)+1)</f>
        <v>1</v>
      </c>
      <c r="U5" s="216" t="str">
        <f>IF(AND(Direct="Broker", 'Metrics &amp; Drop Downs'!R5="No"), "", IF(Buy_to_Let=P5,IF(Island="Jersey", IF(M5="Yes", F5, ""), IF(Island="GHA",IF(L5="Yes", F5, ""), IF(K5="Yes", F5, ""))), ""))</f>
        <v>3 Yr Base Rate Tracker to 75% LTV (T0037)</v>
      </c>
      <c r="V5" s="127">
        <f>IF(U5="", "", G5)</f>
        <v>5.6899999999999999E-2</v>
      </c>
      <c r="W5" s="29">
        <f>IF($U5="", "", H5)</f>
        <v>5.5E-2</v>
      </c>
      <c r="X5" s="218">
        <f>IF($U5="", "", IF(Island="Jersey", O5, N5))</f>
        <v>0</v>
      </c>
      <c r="Y5" s="11" t="str">
        <f t="shared" ref="Y5:Y30" si="0">IF(U5="","","|")</f>
        <v>|</v>
      </c>
      <c r="Z5" s="32" t="e">
        <f>IF(AA5="", "", MAX($Z$3:Z4)+1)</f>
        <v>#DIV/0!</v>
      </c>
      <c r="AA5" s="139" t="e">
        <f>IF(Buy_to_Let="Yes", IF(AND(LTV&lt;=$J5, LTV&gt;=$I5, Amount_Requested&lt;=S5),U5, ""), IF(AND(LTV&lt;=$J5, LTV&gt;=$I5),U5, ""))</f>
        <v>#DIV/0!</v>
      </c>
      <c r="AB5" s="127" t="e">
        <f t="shared" ref="AB5:AB30" si="1">IF($AA5="", "",V5)</f>
        <v>#DIV/0!</v>
      </c>
      <c r="AC5" s="29" t="e">
        <f t="shared" ref="AC5:AC30" si="2">IF($AA5="", "",W5)</f>
        <v>#DIV/0!</v>
      </c>
      <c r="AD5" s="140" t="e">
        <f t="shared" ref="AD5:AD30" si="3">IF($AA5="", "",X5)</f>
        <v>#DIV/0!</v>
      </c>
      <c r="AE5" s="138" t="e">
        <f t="shared" ref="AE5:AE30" si="4">IF(AA5="","","|")</f>
        <v>#DIV/0!</v>
      </c>
      <c r="AG5" s="139" t="str">
        <f t="shared" ref="AG5:AG30" si="5">IFERROR(INDEX(AA$4:AA$31,MATCH(ROW()-ROW(AG$3),$Z$4:$Z$31,0)),"")</f>
        <v/>
      </c>
      <c r="AH5" s="144" t="str">
        <f t="shared" ref="AH5:AH30" si="6">IFERROR(INDEX(AB$4:AB$31,MATCH(ROW()-ROW(AH$3),$Z$4:$Z$31,0)),"")</f>
        <v/>
      </c>
      <c r="AI5" s="18" t="str">
        <f t="shared" ref="AI5:AI30" si="7">IFERROR(INDEX(AC$4:AC$31,MATCH(ROW()-ROW(AI$3),$Z$4:$Z$31,0)),"")</f>
        <v/>
      </c>
      <c r="AJ5" s="140" t="str">
        <f t="shared" ref="AJ5:AJ30" si="8">IFERROR(INDEX(AD$4:AD$31,MATCH(ROW()-ROW(AJ$3),$Z$4:$Z$31,0)),"")</f>
        <v/>
      </c>
      <c r="AK5" s="156" t="str">
        <f>IF(ISERR(Calculations!M11), "", Calculations!M11)</f>
        <v/>
      </c>
      <c r="AL5" s="156" t="str">
        <f t="shared" ref="AL5:AL30" si="9">IF(AG5="","","|")</f>
        <v/>
      </c>
      <c r="AM5" s="139" t="str">
        <f t="shared" ref="AM5:AM30" si="10">IFERROR(INDEX(U$4:U$30,MATCH(ROW()-ROW(AM$3),$T$4:$T$30,0)),"")</f>
        <v>3 Yr Base Rate Tracker to 90% LTV (T0038)</v>
      </c>
      <c r="AN5" s="144">
        <f t="shared" ref="AN5:AN30" si="11">IFERROR(INDEX(V$4:V$30,MATCH(ROW()-ROW(AN$3),$T$4:$T$30,0)),"")</f>
        <v>5.9900000000000002E-2</v>
      </c>
      <c r="AO5" s="18">
        <f t="shared" ref="AO5:AO30" si="12">IFERROR(INDEX(W$4:W$30,MATCH(ROW()-ROW(AO$3),$T$4:$T$30,0)),"")</f>
        <v>5.6000000000000001E-2</v>
      </c>
      <c r="AP5" s="140">
        <f t="shared" ref="AP5:AP30" si="13">IFERROR(INDEX(X$4:X$30,MATCH(ROW()-ROW(AP$3),$T$4:$T$30,0)),"")</f>
        <v>0</v>
      </c>
    </row>
    <row r="6" spans="1:42" x14ac:dyDescent="0.25">
      <c r="A6" s="71" t="s">
        <v>6</v>
      </c>
      <c r="C6" s="216" t="s">
        <v>179</v>
      </c>
      <c r="D6" s="99">
        <v>100000</v>
      </c>
      <c r="F6" s="375" t="s">
        <v>332</v>
      </c>
      <c r="G6" s="376">
        <v>2.7900000000000001E-2</v>
      </c>
      <c r="H6" s="377">
        <v>3.9E-2</v>
      </c>
      <c r="I6" s="378">
        <f>J5+0.0001%</f>
        <v>0.75000100000000003</v>
      </c>
      <c r="J6" s="379">
        <v>0.8</v>
      </c>
      <c r="K6" s="380" t="s">
        <v>103</v>
      </c>
      <c r="L6" s="380" t="s">
        <v>103</v>
      </c>
      <c r="M6" s="380" t="s">
        <v>103</v>
      </c>
      <c r="N6" s="381">
        <v>0</v>
      </c>
      <c r="O6" s="381">
        <v>0</v>
      </c>
      <c r="P6" s="382" t="s">
        <v>103</v>
      </c>
      <c r="Q6" s="383"/>
      <c r="R6" s="384" t="s">
        <v>103</v>
      </c>
      <c r="S6" s="161" t="str">
        <f>IF(Buy_to_Let="Yes",IF(P6="Yes", Rent_mth/BTL_Affordability*12/Q6,""), "")</f>
        <v/>
      </c>
      <c r="T6" s="32" t="str">
        <f>IF(U6="", "", MAX(T$3:$T5)+1)</f>
        <v/>
      </c>
      <c r="U6" s="216" t="str">
        <f>IF(AND(Direct="Broker", 'Metrics &amp; Drop Downs'!R6="No"), "", IF(Buy_to_Let=P6,IF(Island="Jersey", IF(M6="Yes", F6, ""), IF(Island="GHA",IF(L6="Yes", F6, ""), IF(K6="Yes", F6, ""))), ""))</f>
        <v/>
      </c>
      <c r="V6" s="127" t="str">
        <f>IF(U6="", "", G6)</f>
        <v/>
      </c>
      <c r="W6" s="29" t="str">
        <f>IF($U6="", "", H6)</f>
        <v/>
      </c>
      <c r="X6" s="218" t="str">
        <f>IF($U6="", "", IF(Island="Jersey", O6, N6))</f>
        <v/>
      </c>
      <c r="Y6" s="11" t="str">
        <f t="shared" si="0"/>
        <v/>
      </c>
      <c r="Z6" s="32" t="e">
        <f>IF(AA6="", "", MAX($Z$3:Z5)+1)</f>
        <v>#DIV/0!</v>
      </c>
      <c r="AA6" s="139" t="e">
        <f>IF(Buy_to_Let="Yes", IF(AND(LTV&lt;=$J6, LTV&gt;=$I6, Amount_Requested&lt;=S6),U6, ""), IF(AND(LTV&lt;=$J6, LTV&gt;=$I6),U6, ""))</f>
        <v>#DIV/0!</v>
      </c>
      <c r="AB6" s="127" t="e">
        <f t="shared" si="1"/>
        <v>#DIV/0!</v>
      </c>
      <c r="AC6" s="29" t="e">
        <f t="shared" si="2"/>
        <v>#DIV/0!</v>
      </c>
      <c r="AD6" s="140" t="e">
        <f t="shared" si="3"/>
        <v>#DIV/0!</v>
      </c>
      <c r="AE6" s="138" t="e">
        <f t="shared" si="4"/>
        <v>#DIV/0!</v>
      </c>
      <c r="AG6" s="139" t="str">
        <f t="shared" si="5"/>
        <v/>
      </c>
      <c r="AH6" s="144" t="str">
        <f t="shared" si="6"/>
        <v/>
      </c>
      <c r="AI6" s="18" t="str">
        <f t="shared" si="7"/>
        <v/>
      </c>
      <c r="AJ6" s="140" t="str">
        <f t="shared" si="8"/>
        <v/>
      </c>
      <c r="AK6" s="156" t="str">
        <f>IF(ISERR(Calculations!Q11), "", Calculations!Q11)</f>
        <v/>
      </c>
      <c r="AL6" s="156" t="str">
        <f t="shared" si="9"/>
        <v/>
      </c>
      <c r="AM6" s="139" t="str">
        <f t="shared" si="10"/>
        <v>5 Year Fixed to 75% LTV (F0062)</v>
      </c>
      <c r="AN6" s="144">
        <f t="shared" si="11"/>
        <v>5.4899999999999997E-2</v>
      </c>
      <c r="AO6" s="18">
        <f t="shared" si="12"/>
        <v>5.5E-2</v>
      </c>
      <c r="AP6" s="140">
        <f t="shared" si="13"/>
        <v>0</v>
      </c>
    </row>
    <row r="7" spans="1:42" x14ac:dyDescent="0.25">
      <c r="A7" s="71" t="s">
        <v>8</v>
      </c>
      <c r="C7" s="216" t="s">
        <v>180</v>
      </c>
      <c r="D7" s="99">
        <v>1500000</v>
      </c>
      <c r="F7" s="375" t="s">
        <v>331</v>
      </c>
      <c r="G7" s="376">
        <v>2.9899999999999999E-2</v>
      </c>
      <c r="H7" s="377">
        <v>0.04</v>
      </c>
      <c r="I7" s="378">
        <f>J6+0.0001%</f>
        <v>0.80000100000000007</v>
      </c>
      <c r="J7" s="379">
        <v>0.85</v>
      </c>
      <c r="K7" s="380" t="s">
        <v>103</v>
      </c>
      <c r="L7" s="380" t="s">
        <v>103</v>
      </c>
      <c r="M7" s="380" t="s">
        <v>103</v>
      </c>
      <c r="N7" s="381">
        <v>0</v>
      </c>
      <c r="O7" s="381">
        <v>0</v>
      </c>
      <c r="P7" s="382" t="s">
        <v>103</v>
      </c>
      <c r="Q7" s="383"/>
      <c r="R7" s="384" t="s">
        <v>103</v>
      </c>
      <c r="S7" s="161" t="str">
        <f>IF(Buy_to_Let="Yes",IF(P7="Yes", Rent_mth/BTL_Affordability*12/Q7,""), "")</f>
        <v/>
      </c>
      <c r="T7" s="32" t="str">
        <f>IF(U7="", "", MAX(T$3:$T6)+1)</f>
        <v/>
      </c>
      <c r="U7" s="216" t="str">
        <f>IF(AND(Direct="Broker", 'Metrics &amp; Drop Downs'!R7="No"), "", IF(Buy_to_Let=P7,IF(Island="Jersey", IF(M7="Yes", F7, ""), IF(Island="GHA",IF(L7="Yes", F7, ""), IF(K7="Yes", F7, ""))), ""))</f>
        <v/>
      </c>
      <c r="V7" s="127" t="str">
        <f>IF(U7="", "", G7)</f>
        <v/>
      </c>
      <c r="W7" s="29" t="str">
        <f>IF($U7="", "", H7)</f>
        <v/>
      </c>
      <c r="X7" s="218" t="str">
        <f>IF($U7="", "", IF(Island="Jersey", O7, N7))</f>
        <v/>
      </c>
      <c r="Y7" s="11" t="str">
        <f t="shared" si="0"/>
        <v/>
      </c>
      <c r="Z7" s="32" t="e">
        <f>IF(AA7="", "", MAX($Z$3:Z6)+1)</f>
        <v>#DIV/0!</v>
      </c>
      <c r="AA7" s="139" t="e">
        <f>IF(Buy_to_Let="Yes", IF(AND(LTV&lt;=$J7, LTV&gt;=$I7, Amount_Requested&lt;=S7),U7, ""), IF(AND(LTV&lt;=$J7, LTV&gt;=$I7),U7, ""))</f>
        <v>#DIV/0!</v>
      </c>
      <c r="AB7" s="127" t="e">
        <f t="shared" si="1"/>
        <v>#DIV/0!</v>
      </c>
      <c r="AC7" s="29" t="e">
        <f t="shared" si="2"/>
        <v>#DIV/0!</v>
      </c>
      <c r="AD7" s="140" t="e">
        <f t="shared" si="3"/>
        <v>#DIV/0!</v>
      </c>
      <c r="AE7" s="138" t="e">
        <f t="shared" si="4"/>
        <v>#DIV/0!</v>
      </c>
      <c r="AG7" s="139" t="str">
        <f t="shared" si="5"/>
        <v/>
      </c>
      <c r="AH7" s="144" t="str">
        <f t="shared" si="6"/>
        <v/>
      </c>
      <c r="AI7" s="18" t="str">
        <f t="shared" si="7"/>
        <v/>
      </c>
      <c r="AJ7" s="140" t="str">
        <f t="shared" si="8"/>
        <v/>
      </c>
      <c r="AK7" s="156" t="str">
        <f>IF(ISERR(Calculations!U11), "", Calculations!U11)</f>
        <v/>
      </c>
      <c r="AL7" s="156" t="str">
        <f t="shared" si="9"/>
        <v/>
      </c>
      <c r="AM7" s="139" t="str">
        <f t="shared" si="10"/>
        <v>5 Year Fixed to 90% LTV (F0063)</v>
      </c>
      <c r="AN7" s="144">
        <f t="shared" si="11"/>
        <v>5.79E-2</v>
      </c>
      <c r="AO7" s="18">
        <f t="shared" si="12"/>
        <v>5.6000000000000001E-2</v>
      </c>
      <c r="AP7" s="140">
        <f t="shared" si="13"/>
        <v>0</v>
      </c>
    </row>
    <row r="8" spans="1:42" x14ac:dyDescent="0.25">
      <c r="A8" s="71"/>
      <c r="C8" s="216" t="s">
        <v>181</v>
      </c>
      <c r="D8" s="99">
        <v>100000</v>
      </c>
      <c r="F8" s="375" t="s">
        <v>334</v>
      </c>
      <c r="G8" s="376">
        <v>5.9900000000000002E-2</v>
      </c>
      <c r="H8" s="377">
        <v>5.6000000000000001E-2</v>
      </c>
      <c r="I8" s="378">
        <f>J5+0.0001%</f>
        <v>0.75000100000000003</v>
      </c>
      <c r="J8" s="379">
        <v>0.9</v>
      </c>
      <c r="K8" s="380" t="s">
        <v>102</v>
      </c>
      <c r="L8" s="380" t="s">
        <v>103</v>
      </c>
      <c r="M8" s="380" t="s">
        <v>103</v>
      </c>
      <c r="N8" s="381">
        <v>0</v>
      </c>
      <c r="O8" s="381">
        <v>0</v>
      </c>
      <c r="P8" s="382" t="s">
        <v>103</v>
      </c>
      <c r="Q8" s="383"/>
      <c r="R8" s="384" t="s">
        <v>102</v>
      </c>
      <c r="S8" s="161" t="str">
        <f>IF(Buy_to_Let="Yes",IF(P8="Yes", Rent_mth/BTL_Affordability*12/Q8,""), "")</f>
        <v/>
      </c>
      <c r="T8" s="32" t="str">
        <f>IF(U8="", "", MAX(T$3:$T7)+1)</f>
        <v/>
      </c>
      <c r="U8" s="216" t="str">
        <f>IF(AND(Direct="Broker", 'Metrics &amp; Drop Downs'!R8="No"), "", IF(Buy_to_Let=P8,IF(Island="Jersey", IF(M8="Yes", F8, ""), IF(Island="GHA",IF(L8="Yes", F8, ""), IF(K8="Yes", F8, ""))), ""))</f>
        <v/>
      </c>
      <c r="V8" s="127" t="str">
        <f>IF(U8="", "", G8)</f>
        <v/>
      </c>
      <c r="W8" s="29" t="str">
        <f>IF($U8="", "", H8)</f>
        <v/>
      </c>
      <c r="X8" s="218" t="str">
        <f>IF($U8="", "", IF(Island="Jersey", O8, N8))</f>
        <v/>
      </c>
      <c r="Y8" s="11" t="str">
        <f t="shared" si="0"/>
        <v/>
      </c>
      <c r="Z8" s="32" t="e">
        <f>IF(AA8="", "", MAX($Z$3:Z7)+1)</f>
        <v>#DIV/0!</v>
      </c>
      <c r="AA8" s="139" t="e">
        <f>IF(Buy_to_Let="Yes", IF(AND(LTV&lt;=$J8, LTV&gt;=$I8, Amount_Requested&lt;=S8),U8, ""), IF(AND(LTV&lt;=$J8, LTV&gt;=$I8),U8, ""))</f>
        <v>#DIV/0!</v>
      </c>
      <c r="AB8" s="127" t="e">
        <f t="shared" si="1"/>
        <v>#DIV/0!</v>
      </c>
      <c r="AC8" s="29" t="e">
        <f t="shared" si="2"/>
        <v>#DIV/0!</v>
      </c>
      <c r="AD8" s="140" t="e">
        <f t="shared" si="3"/>
        <v>#DIV/0!</v>
      </c>
      <c r="AE8" s="138" t="e">
        <f t="shared" si="4"/>
        <v>#DIV/0!</v>
      </c>
      <c r="AG8" s="139" t="str">
        <f t="shared" si="5"/>
        <v/>
      </c>
      <c r="AH8" s="144" t="str">
        <f t="shared" si="6"/>
        <v/>
      </c>
      <c r="AI8" s="18" t="str">
        <f t="shared" si="7"/>
        <v/>
      </c>
      <c r="AJ8" s="140" t="str">
        <f t="shared" si="8"/>
        <v/>
      </c>
      <c r="AK8" s="156" t="str">
        <f>IF(ISERR(Calculations!Y11), "", Calculations!Y11)</f>
        <v/>
      </c>
      <c r="AL8" s="156" t="str">
        <f t="shared" si="9"/>
        <v/>
      </c>
      <c r="AM8" s="139" t="str">
        <f t="shared" si="10"/>
        <v/>
      </c>
      <c r="AN8" s="144" t="str">
        <f t="shared" si="11"/>
        <v/>
      </c>
      <c r="AO8" s="18" t="str">
        <f t="shared" si="12"/>
        <v/>
      </c>
      <c r="AP8" s="140" t="str">
        <f t="shared" si="13"/>
        <v/>
      </c>
    </row>
    <row r="9" spans="1:42" x14ac:dyDescent="0.25">
      <c r="A9" s="71"/>
      <c r="C9" s="81" t="s">
        <v>325</v>
      </c>
      <c r="D9" s="104">
        <v>500000</v>
      </c>
      <c r="F9" s="375" t="str">
        <f t="shared" ref="F9:H11" si="14">F5</f>
        <v>3 Yr Base Rate Tracker to 75% LTV (T0037)</v>
      </c>
      <c r="G9" s="376">
        <f>G5</f>
        <v>5.6899999999999999E-2</v>
      </c>
      <c r="H9" s="377">
        <f>H5</f>
        <v>5.5E-2</v>
      </c>
      <c r="I9" s="378">
        <v>9.9999999999999995E-7</v>
      </c>
      <c r="J9" s="379">
        <v>0.75</v>
      </c>
      <c r="K9" s="380" t="s">
        <v>103</v>
      </c>
      <c r="L9" s="380" t="s">
        <v>103</v>
      </c>
      <c r="M9" s="380" t="s">
        <v>102</v>
      </c>
      <c r="N9" s="381">
        <v>0</v>
      </c>
      <c r="O9" s="381">
        <v>0</v>
      </c>
      <c r="P9" s="382" t="s">
        <v>103</v>
      </c>
      <c r="Q9" s="383"/>
      <c r="R9" s="384" t="s">
        <v>102</v>
      </c>
      <c r="S9" s="161" t="str">
        <f t="shared" ref="S9:S30" si="15">IF(Buy_to_Let="Yes",IF(P9="Yes", Rent_mth/BTL_Affordability*12/Q9,""), "")</f>
        <v/>
      </c>
      <c r="T9" s="32" t="str">
        <f>IF(U9="", "", MAX(T$3:$T8)+1)</f>
        <v/>
      </c>
      <c r="U9" s="216"/>
      <c r="V9" s="127"/>
      <c r="W9" s="29" t="str">
        <f t="shared" ref="W9:W30" si="16">IF($U9="", "", H9)</f>
        <v/>
      </c>
      <c r="X9" s="218" t="str">
        <f t="shared" ref="X9:X30" si="17">IF($U9="", "", IF(Island="Jersey", O9, N9))</f>
        <v/>
      </c>
      <c r="Y9" s="11" t="str">
        <f t="shared" si="0"/>
        <v/>
      </c>
      <c r="Z9" s="32" t="str">
        <f>IF(AA9="", "", MAX($Z$3:Z8)+1)</f>
        <v/>
      </c>
      <c r="AA9" s="139"/>
      <c r="AB9" s="127"/>
      <c r="AC9" s="29" t="str">
        <f t="shared" si="2"/>
        <v/>
      </c>
      <c r="AD9" s="140" t="str">
        <f t="shared" si="3"/>
        <v/>
      </c>
      <c r="AE9" s="138" t="str">
        <f t="shared" si="4"/>
        <v/>
      </c>
      <c r="AG9" s="139" t="str">
        <f t="shared" si="5"/>
        <v/>
      </c>
      <c r="AH9" s="144" t="str">
        <f t="shared" si="6"/>
        <v/>
      </c>
      <c r="AI9" s="18" t="str">
        <f t="shared" si="7"/>
        <v/>
      </c>
      <c r="AJ9" s="140" t="str">
        <f t="shared" si="8"/>
        <v/>
      </c>
      <c r="AK9" s="156" t="str">
        <f>IF(ISERR(Calculations!AC11), "", Calculations!AC11)</f>
        <v/>
      </c>
      <c r="AL9" s="156" t="str">
        <f t="shared" si="9"/>
        <v/>
      </c>
      <c r="AM9" s="139" t="str">
        <f t="shared" si="10"/>
        <v/>
      </c>
      <c r="AN9" s="144" t="str">
        <f t="shared" si="11"/>
        <v/>
      </c>
      <c r="AO9" s="18" t="str">
        <f t="shared" si="12"/>
        <v/>
      </c>
      <c r="AP9" s="140" t="str">
        <f t="shared" si="13"/>
        <v/>
      </c>
    </row>
    <row r="10" spans="1:42" x14ac:dyDescent="0.25">
      <c r="A10" s="71"/>
      <c r="C10" s="216" t="s">
        <v>162</v>
      </c>
      <c r="D10" s="128">
        <f>IF(Buy_to_Let="", 0, IF(Buy_to_Let="No", 'Metrics &amp; Drop Downs'!D3, 'Metrics &amp; Drop Downs'!D6))</f>
        <v>100000</v>
      </c>
      <c r="F10" s="375" t="str">
        <f t="shared" si="14"/>
        <v>3 Yr Base Rate Tracker to 80% LTV (UT032)</v>
      </c>
      <c r="G10" s="376">
        <f t="shared" si="14"/>
        <v>2.7900000000000001E-2</v>
      </c>
      <c r="H10" s="377">
        <f t="shared" si="14"/>
        <v>3.9E-2</v>
      </c>
      <c r="I10" s="378">
        <f>J9+0.0001%</f>
        <v>0.75000100000000003</v>
      </c>
      <c r="J10" s="379">
        <v>0.8</v>
      </c>
      <c r="K10" s="380" t="s">
        <v>103</v>
      </c>
      <c r="L10" s="380" t="s">
        <v>103</v>
      </c>
      <c r="M10" s="380" t="s">
        <v>103</v>
      </c>
      <c r="N10" s="381">
        <v>0</v>
      </c>
      <c r="O10" s="381">
        <v>0</v>
      </c>
      <c r="P10" s="382" t="s">
        <v>103</v>
      </c>
      <c r="Q10" s="383"/>
      <c r="R10" s="384" t="s">
        <v>103</v>
      </c>
      <c r="S10" s="161" t="str">
        <f t="shared" si="15"/>
        <v/>
      </c>
      <c r="T10" s="32" t="str">
        <f>IF(U10="", "", MAX(T$3:$T9)+1)</f>
        <v/>
      </c>
      <c r="U10" s="216" t="str">
        <f>IF(AND(Direct="Broker", 'Metrics &amp; Drop Downs'!R10="No"), "", IF(Buy_to_Let=P10,IF(Island="Jersey", IF(M10="Yes", F10, ""), IF(Island="GHA",IF(L10="Yes", F10, ""), IF(K10="Yes", F10, ""))), ""))</f>
        <v/>
      </c>
      <c r="V10" s="127" t="str">
        <f t="shared" ref="V10:V30" si="18">IF(U10="", "", G10)</f>
        <v/>
      </c>
      <c r="W10" s="29" t="str">
        <f t="shared" si="16"/>
        <v/>
      </c>
      <c r="X10" s="218" t="str">
        <f t="shared" si="17"/>
        <v/>
      </c>
      <c r="Y10" s="11" t="str">
        <f t="shared" si="0"/>
        <v/>
      </c>
      <c r="Z10" s="32" t="e">
        <f>IF(AA10="", "", MAX($Z$3:Z9)+1)</f>
        <v>#DIV/0!</v>
      </c>
      <c r="AA10" s="139" t="e">
        <f t="shared" ref="AA10:AA30" si="19">IF(Buy_to_Let="Yes", IF(AND(LTV&lt;=$J10, LTV&gt;=$I10, Amount_Requested&lt;=S10),U10, ""), IF(AND(LTV&lt;=$J10, LTV&gt;=$I10),U10, ""))</f>
        <v>#DIV/0!</v>
      </c>
      <c r="AB10" s="127" t="e">
        <f t="shared" si="1"/>
        <v>#DIV/0!</v>
      </c>
      <c r="AC10" s="29" t="e">
        <f t="shared" si="2"/>
        <v>#DIV/0!</v>
      </c>
      <c r="AD10" s="140" t="e">
        <f t="shared" si="3"/>
        <v>#DIV/0!</v>
      </c>
      <c r="AE10" s="138" t="e">
        <f t="shared" si="4"/>
        <v>#DIV/0!</v>
      </c>
      <c r="AG10" s="139" t="str">
        <f t="shared" si="5"/>
        <v/>
      </c>
      <c r="AH10" s="144" t="str">
        <f t="shared" si="6"/>
        <v/>
      </c>
      <c r="AI10" s="18" t="str">
        <f t="shared" si="7"/>
        <v/>
      </c>
      <c r="AJ10" s="140" t="str">
        <f t="shared" si="8"/>
        <v/>
      </c>
      <c r="AK10" s="11"/>
      <c r="AL10" s="156" t="str">
        <f t="shared" si="9"/>
        <v/>
      </c>
      <c r="AM10" s="139" t="str">
        <f t="shared" si="10"/>
        <v/>
      </c>
      <c r="AN10" s="144" t="str">
        <f t="shared" si="11"/>
        <v/>
      </c>
      <c r="AO10" s="18" t="str">
        <f t="shared" si="12"/>
        <v/>
      </c>
      <c r="AP10" s="140" t="str">
        <f t="shared" si="13"/>
        <v/>
      </c>
    </row>
    <row r="11" spans="1:42" x14ac:dyDescent="0.25">
      <c r="A11" s="71"/>
      <c r="C11" s="9" t="s">
        <v>175</v>
      </c>
      <c r="D11" s="128">
        <f>IF(Buy_to_Let="", 0, IF(Buy_to_Let="No", 'Metrics &amp; Drop Downs'!D4, 'Metrics &amp; Drop Downs'!D7))</f>
        <v>90000</v>
      </c>
      <c r="F11" s="375" t="str">
        <f t="shared" si="14"/>
        <v>3 Yr Base Rate Tracker to 85% LTV (UT033)</v>
      </c>
      <c r="G11" s="376">
        <f t="shared" si="14"/>
        <v>2.9899999999999999E-2</v>
      </c>
      <c r="H11" s="377">
        <f t="shared" si="14"/>
        <v>0.04</v>
      </c>
      <c r="I11" s="378">
        <f>J10+0.0001%</f>
        <v>0.80000100000000007</v>
      </c>
      <c r="J11" s="379">
        <v>0.85</v>
      </c>
      <c r="K11" s="380" t="s">
        <v>103</v>
      </c>
      <c r="L11" s="380" t="s">
        <v>103</v>
      </c>
      <c r="M11" s="380" t="s">
        <v>103</v>
      </c>
      <c r="N11" s="381">
        <v>0</v>
      </c>
      <c r="O11" s="381">
        <v>0</v>
      </c>
      <c r="P11" s="382" t="s">
        <v>103</v>
      </c>
      <c r="Q11" s="383"/>
      <c r="R11" s="384" t="s">
        <v>103</v>
      </c>
      <c r="S11" s="161" t="str">
        <f t="shared" si="15"/>
        <v/>
      </c>
      <c r="T11" s="32" t="str">
        <f>IF(U11="", "", MAX(T$3:$T10)+1)</f>
        <v/>
      </c>
      <c r="U11" s="216" t="str">
        <f>IF(AND(Direct="Broker", 'Metrics &amp; Drop Downs'!R11="No"), "", IF(Buy_to_Let=P11,IF(Island="Jersey", IF(M11="Yes", F11, ""), IF(Island="GHA",IF(L11="Yes", F11, ""), IF(K11="Yes", F11, ""))), ""))</f>
        <v/>
      </c>
      <c r="V11" s="127" t="str">
        <f t="shared" si="18"/>
        <v/>
      </c>
      <c r="W11" s="29" t="str">
        <f t="shared" si="16"/>
        <v/>
      </c>
      <c r="X11" s="218" t="str">
        <f t="shared" si="17"/>
        <v/>
      </c>
      <c r="Y11" s="11" t="str">
        <f t="shared" si="0"/>
        <v/>
      </c>
      <c r="Z11" s="32" t="e">
        <f>IF(AA11="", "", MAX($Z$3:Z10)+1)</f>
        <v>#DIV/0!</v>
      </c>
      <c r="AA11" s="139" t="e">
        <f>IF(Buy_to_Let="Yes", IF(AND(LTV&lt;=$J11, LTV&gt;=$I11, Amount_Requested&lt;=S11),U11, ""), IF(AND(LTV&lt;=$J11, LTV&gt;=$I11),U11, ""))</f>
        <v>#DIV/0!</v>
      </c>
      <c r="AB11" s="127" t="e">
        <f t="shared" si="1"/>
        <v>#DIV/0!</v>
      </c>
      <c r="AC11" s="29" t="e">
        <f t="shared" si="2"/>
        <v>#DIV/0!</v>
      </c>
      <c r="AD11" s="140" t="e">
        <f t="shared" si="3"/>
        <v>#DIV/0!</v>
      </c>
      <c r="AE11" s="138" t="e">
        <f t="shared" si="4"/>
        <v>#DIV/0!</v>
      </c>
      <c r="AG11" s="139" t="str">
        <f t="shared" si="5"/>
        <v/>
      </c>
      <c r="AH11" s="144" t="str">
        <f t="shared" si="6"/>
        <v/>
      </c>
      <c r="AI11" s="18" t="str">
        <f t="shared" si="7"/>
        <v/>
      </c>
      <c r="AJ11" s="140" t="str">
        <f t="shared" si="8"/>
        <v/>
      </c>
      <c r="AK11" s="11"/>
      <c r="AL11" s="156" t="str">
        <f t="shared" si="9"/>
        <v/>
      </c>
      <c r="AM11" s="139" t="str">
        <f t="shared" si="10"/>
        <v/>
      </c>
      <c r="AN11" s="144" t="str">
        <f t="shared" si="11"/>
        <v/>
      </c>
      <c r="AO11" s="18" t="str">
        <f t="shared" si="12"/>
        <v/>
      </c>
      <c r="AP11" s="140" t="str">
        <f t="shared" si="13"/>
        <v/>
      </c>
    </row>
    <row r="12" spans="1:42" x14ac:dyDescent="0.25">
      <c r="A12" s="71"/>
      <c r="C12" s="81" t="s">
        <v>163</v>
      </c>
      <c r="D12" s="129">
        <f>IF(Buy_to_Let="", 0, IF(Buy_to_Let="No", 'Metrics &amp; Drop Downs'!D5, 'Metrics &amp; Drop Downs'!D8))</f>
        <v>100000</v>
      </c>
      <c r="F12" s="375" t="str">
        <f>F8</f>
        <v>3 Yr Base Rate Tracker to 90% LTV (T0038)</v>
      </c>
      <c r="G12" s="376">
        <f>G8</f>
        <v>5.9900000000000002E-2</v>
      </c>
      <c r="H12" s="377">
        <f t="shared" ref="H12" si="20">H8</f>
        <v>5.6000000000000001E-2</v>
      </c>
      <c r="I12" s="378">
        <f>J9+0.0001%</f>
        <v>0.75000100000000003</v>
      </c>
      <c r="J12" s="379">
        <v>0.9</v>
      </c>
      <c r="K12" s="380" t="s">
        <v>103</v>
      </c>
      <c r="L12" s="380" t="s">
        <v>103</v>
      </c>
      <c r="M12" s="380" t="s">
        <v>102</v>
      </c>
      <c r="N12" s="381">
        <v>0</v>
      </c>
      <c r="O12" s="381">
        <v>0</v>
      </c>
      <c r="P12" s="382" t="s">
        <v>103</v>
      </c>
      <c r="Q12" s="383"/>
      <c r="R12" s="384" t="s">
        <v>102</v>
      </c>
      <c r="S12" s="161" t="str">
        <f t="shared" si="15"/>
        <v/>
      </c>
      <c r="T12" s="32">
        <f>IF(U12="", "", MAX(T$3:$T11)+1)</f>
        <v>2</v>
      </c>
      <c r="U12" s="216" t="str">
        <f>IF(AND(Direct="Broker", 'Metrics &amp; Drop Downs'!R12="No"), "", IF(Buy_to_Let=P12,IF(Island="Jersey", IF(M12="Yes", F12, ""), IF(Island="GHA",IF(L12="Yes", F12, ""), IF(K12="Yes", F12, ""))), ""))</f>
        <v>3 Yr Base Rate Tracker to 90% LTV (T0038)</v>
      </c>
      <c r="V12" s="127">
        <f t="shared" si="18"/>
        <v>5.9900000000000002E-2</v>
      </c>
      <c r="W12" s="29">
        <f t="shared" si="16"/>
        <v>5.6000000000000001E-2</v>
      </c>
      <c r="X12" s="218">
        <f t="shared" si="17"/>
        <v>0</v>
      </c>
      <c r="Y12" s="11" t="str">
        <f t="shared" si="0"/>
        <v>|</v>
      </c>
      <c r="Z12" s="32" t="e">
        <f>IF(AA12="", "", MAX($Z$3:Z11)+1)</f>
        <v>#DIV/0!</v>
      </c>
      <c r="AA12" s="139" t="e">
        <f t="shared" si="19"/>
        <v>#DIV/0!</v>
      </c>
      <c r="AB12" s="127" t="e">
        <f t="shared" si="1"/>
        <v>#DIV/0!</v>
      </c>
      <c r="AC12" s="29" t="e">
        <f t="shared" si="2"/>
        <v>#DIV/0!</v>
      </c>
      <c r="AD12" s="140" t="e">
        <f t="shared" si="3"/>
        <v>#DIV/0!</v>
      </c>
      <c r="AE12" s="138" t="e">
        <f t="shared" si="4"/>
        <v>#DIV/0!</v>
      </c>
      <c r="AG12" s="139" t="str">
        <f t="shared" si="5"/>
        <v/>
      </c>
      <c r="AH12" s="144" t="str">
        <f t="shared" si="6"/>
        <v/>
      </c>
      <c r="AI12" s="18" t="str">
        <f t="shared" si="7"/>
        <v/>
      </c>
      <c r="AJ12" s="140" t="str">
        <f t="shared" si="8"/>
        <v/>
      </c>
      <c r="AK12" s="11"/>
      <c r="AL12" s="156" t="str">
        <f t="shared" si="9"/>
        <v/>
      </c>
      <c r="AM12" s="139" t="str">
        <f t="shared" si="10"/>
        <v/>
      </c>
      <c r="AN12" s="144" t="str">
        <f t="shared" si="11"/>
        <v/>
      </c>
      <c r="AO12" s="18" t="str">
        <f t="shared" si="12"/>
        <v/>
      </c>
      <c r="AP12" s="140" t="str">
        <f t="shared" si="13"/>
        <v/>
      </c>
    </row>
    <row r="13" spans="1:42" x14ac:dyDescent="0.25">
      <c r="A13" s="71"/>
      <c r="F13" s="375" t="s">
        <v>298</v>
      </c>
      <c r="G13" s="376"/>
      <c r="H13" s="377"/>
      <c r="I13" s="378">
        <v>0</v>
      </c>
      <c r="J13" s="379">
        <v>0.6</v>
      </c>
      <c r="K13" s="380" t="s">
        <v>103</v>
      </c>
      <c r="L13" s="380" t="s">
        <v>103</v>
      </c>
      <c r="M13" s="380" t="s">
        <v>103</v>
      </c>
      <c r="N13" s="381">
        <v>0</v>
      </c>
      <c r="O13" s="381">
        <v>0</v>
      </c>
      <c r="P13" s="382" t="s">
        <v>103</v>
      </c>
      <c r="Q13" s="383"/>
      <c r="R13" s="384" t="s">
        <v>103</v>
      </c>
      <c r="S13" s="161" t="str">
        <f t="shared" si="15"/>
        <v/>
      </c>
      <c r="T13" s="32" t="str">
        <f>IF(U13="", "", MAX(T$3:$T12)+1)</f>
        <v/>
      </c>
      <c r="U13" s="216" t="str">
        <f>IF(AND(Direct="Broker", 'Metrics &amp; Drop Downs'!R13="No"), "", IF(Buy_to_Let=P13,IF(Island="Jersey", IF(M13="Yes", F13, ""), IF(Island="GHA",IF(L13="Yes", F13, ""), IF(K13="Yes", F13, ""))), ""))</f>
        <v/>
      </c>
      <c r="V13" s="127" t="str">
        <f t="shared" si="18"/>
        <v/>
      </c>
      <c r="W13" s="29" t="str">
        <f t="shared" si="16"/>
        <v/>
      </c>
      <c r="X13" s="218" t="str">
        <f t="shared" si="17"/>
        <v/>
      </c>
      <c r="Y13" s="11" t="str">
        <f t="shared" si="0"/>
        <v/>
      </c>
      <c r="Z13" s="32" t="e">
        <f>IF(AA13="", "", MAX($Z$3:Z12)+1)</f>
        <v>#DIV/0!</v>
      </c>
      <c r="AA13" s="139" t="e">
        <f t="shared" si="19"/>
        <v>#DIV/0!</v>
      </c>
      <c r="AB13" s="127" t="e">
        <f t="shared" si="1"/>
        <v>#DIV/0!</v>
      </c>
      <c r="AC13" s="29" t="e">
        <f t="shared" si="2"/>
        <v>#DIV/0!</v>
      </c>
      <c r="AD13" s="140" t="e">
        <f t="shared" si="3"/>
        <v>#DIV/0!</v>
      </c>
      <c r="AE13" s="138" t="e">
        <f t="shared" si="4"/>
        <v>#DIV/0!</v>
      </c>
      <c r="AG13" s="139" t="str">
        <f t="shared" si="5"/>
        <v/>
      </c>
      <c r="AH13" s="144" t="str">
        <f t="shared" si="6"/>
        <v/>
      </c>
      <c r="AI13" s="18" t="str">
        <f t="shared" si="7"/>
        <v/>
      </c>
      <c r="AJ13" s="140" t="str">
        <f t="shared" si="8"/>
        <v/>
      </c>
      <c r="AK13" s="11"/>
      <c r="AL13" s="156" t="str">
        <f t="shared" si="9"/>
        <v/>
      </c>
      <c r="AM13" s="139" t="str">
        <f t="shared" si="10"/>
        <v/>
      </c>
      <c r="AN13" s="144" t="str">
        <f t="shared" si="11"/>
        <v/>
      </c>
      <c r="AO13" s="18" t="str">
        <f t="shared" si="12"/>
        <v/>
      </c>
      <c r="AP13" s="140" t="str">
        <f t="shared" si="13"/>
        <v/>
      </c>
    </row>
    <row r="14" spans="1:42" x14ac:dyDescent="0.25">
      <c r="A14" s="71"/>
      <c r="C14" s="6" t="s">
        <v>153</v>
      </c>
      <c r="D14" s="8"/>
      <c r="F14" s="375" t="s">
        <v>335</v>
      </c>
      <c r="G14" s="376">
        <v>5.4899999999999997E-2</v>
      </c>
      <c r="H14" s="377">
        <v>5.5E-2</v>
      </c>
      <c r="I14" s="378">
        <v>9.9999999999999995E-7</v>
      </c>
      <c r="J14" s="379">
        <v>0.75</v>
      </c>
      <c r="K14" s="380" t="s">
        <v>102</v>
      </c>
      <c r="L14" s="380" t="s">
        <v>103</v>
      </c>
      <c r="M14" s="380" t="s">
        <v>103</v>
      </c>
      <c r="N14" s="381">
        <v>0</v>
      </c>
      <c r="O14" s="381">
        <v>0</v>
      </c>
      <c r="P14" s="382" t="s">
        <v>103</v>
      </c>
      <c r="Q14" s="383"/>
      <c r="R14" s="384" t="s">
        <v>102</v>
      </c>
      <c r="S14" s="161" t="str">
        <f t="shared" si="15"/>
        <v/>
      </c>
      <c r="T14" s="32" t="str">
        <f>IF(U14="", "", MAX(T$3:$T13)+1)</f>
        <v/>
      </c>
      <c r="U14" s="216" t="str">
        <f>IF(AND(Direct="Broker", 'Metrics &amp; Drop Downs'!R14="No"), "", IF(Buy_to_Let=P14,IF(Island="Jersey", IF(M14="Yes", F14, ""), IF(Island="GHA",IF(L14="Yes", F14, ""), IF(K14="Yes", F14, ""))), ""))</f>
        <v/>
      </c>
      <c r="V14" s="127" t="str">
        <f t="shared" si="18"/>
        <v/>
      </c>
      <c r="W14" s="29" t="str">
        <f t="shared" si="16"/>
        <v/>
      </c>
      <c r="X14" s="218" t="str">
        <f t="shared" si="17"/>
        <v/>
      </c>
      <c r="Y14" s="11" t="str">
        <f t="shared" si="0"/>
        <v/>
      </c>
      <c r="Z14" s="32" t="e">
        <f>IF(AA14="", "", MAX($Z$3:Z13)+1)</f>
        <v>#DIV/0!</v>
      </c>
      <c r="AA14" s="139" t="e">
        <f t="shared" si="19"/>
        <v>#DIV/0!</v>
      </c>
      <c r="AB14" s="127" t="e">
        <f t="shared" si="1"/>
        <v>#DIV/0!</v>
      </c>
      <c r="AC14" s="29" t="e">
        <f t="shared" si="2"/>
        <v>#DIV/0!</v>
      </c>
      <c r="AD14" s="140" t="e">
        <f t="shared" si="3"/>
        <v>#DIV/0!</v>
      </c>
      <c r="AE14" s="138" t="e">
        <f t="shared" si="4"/>
        <v>#DIV/0!</v>
      </c>
      <c r="AG14" s="139" t="str">
        <f t="shared" si="5"/>
        <v/>
      </c>
      <c r="AH14" s="144" t="str">
        <f t="shared" si="6"/>
        <v/>
      </c>
      <c r="AI14" s="18" t="str">
        <f t="shared" si="7"/>
        <v/>
      </c>
      <c r="AJ14" s="140" t="str">
        <f t="shared" si="8"/>
        <v/>
      </c>
      <c r="AK14" s="11"/>
      <c r="AL14" s="156" t="str">
        <f t="shared" si="9"/>
        <v/>
      </c>
      <c r="AM14" s="139" t="str">
        <f t="shared" si="10"/>
        <v/>
      </c>
      <c r="AN14" s="144" t="str">
        <f t="shared" si="11"/>
        <v/>
      </c>
      <c r="AO14" s="18" t="str">
        <f t="shared" si="12"/>
        <v/>
      </c>
      <c r="AP14" s="140" t="str">
        <f t="shared" si="13"/>
        <v/>
      </c>
    </row>
    <row r="15" spans="1:42" x14ac:dyDescent="0.25">
      <c r="A15" s="71"/>
      <c r="C15" s="9" t="s">
        <v>154</v>
      </c>
      <c r="D15" s="99">
        <v>40000</v>
      </c>
      <c r="F15" s="375" t="s">
        <v>330</v>
      </c>
      <c r="G15" s="376">
        <v>3.9899999999999998E-2</v>
      </c>
      <c r="H15" s="377">
        <v>4.3999999999999997E-2</v>
      </c>
      <c r="I15" s="378">
        <f>J14+0.0001%</f>
        <v>0.75000100000000003</v>
      </c>
      <c r="J15" s="379">
        <v>0.85</v>
      </c>
      <c r="K15" s="380" t="s">
        <v>103</v>
      </c>
      <c r="L15" s="380" t="s">
        <v>103</v>
      </c>
      <c r="M15" s="380" t="s">
        <v>103</v>
      </c>
      <c r="N15" s="381">
        <v>0</v>
      </c>
      <c r="O15" s="381">
        <v>0</v>
      </c>
      <c r="P15" s="382" t="s">
        <v>103</v>
      </c>
      <c r="Q15" s="383"/>
      <c r="R15" s="384" t="s">
        <v>102</v>
      </c>
      <c r="S15" s="161" t="str">
        <f t="shared" si="15"/>
        <v/>
      </c>
      <c r="T15" s="32" t="str">
        <f>IF(U15="", "", MAX(T$3:$T14)+1)</f>
        <v/>
      </c>
      <c r="U15" s="216" t="str">
        <f>IF(AND(Direct="Broker", 'Metrics &amp; Drop Downs'!R15="No"), "", IF(Buy_to_Let=P15,IF(Island="Jersey", IF(M15="Yes", F15, ""), IF(Island="GHA",IF(L15="Yes", F15, ""), IF(K15="Yes", F15, ""))), ""))</f>
        <v/>
      </c>
      <c r="V15" s="127" t="str">
        <f t="shared" si="18"/>
        <v/>
      </c>
      <c r="W15" s="29" t="str">
        <f t="shared" si="16"/>
        <v/>
      </c>
      <c r="X15" s="218" t="str">
        <f t="shared" si="17"/>
        <v/>
      </c>
      <c r="Y15" s="11" t="str">
        <f t="shared" si="0"/>
        <v/>
      </c>
      <c r="Z15" s="32" t="e">
        <f>IF(AA15="", "", MAX($Z$3:Z14)+1)</f>
        <v>#DIV/0!</v>
      </c>
      <c r="AA15" s="139" t="e">
        <f t="shared" si="19"/>
        <v>#DIV/0!</v>
      </c>
      <c r="AB15" s="127" t="e">
        <f t="shared" si="1"/>
        <v>#DIV/0!</v>
      </c>
      <c r="AC15" s="29" t="e">
        <f t="shared" si="2"/>
        <v>#DIV/0!</v>
      </c>
      <c r="AD15" s="140" t="e">
        <f t="shared" si="3"/>
        <v>#DIV/0!</v>
      </c>
      <c r="AE15" s="138" t="e">
        <f t="shared" si="4"/>
        <v>#DIV/0!</v>
      </c>
      <c r="AG15" s="139" t="str">
        <f t="shared" si="5"/>
        <v/>
      </c>
      <c r="AH15" s="144" t="str">
        <f t="shared" si="6"/>
        <v/>
      </c>
      <c r="AI15" s="18" t="str">
        <f t="shared" si="7"/>
        <v/>
      </c>
      <c r="AJ15" s="140" t="str">
        <f t="shared" si="8"/>
        <v/>
      </c>
      <c r="AK15" s="11"/>
      <c r="AL15" s="156" t="str">
        <f t="shared" si="9"/>
        <v/>
      </c>
      <c r="AM15" s="139" t="str">
        <f t="shared" si="10"/>
        <v/>
      </c>
      <c r="AN15" s="144" t="str">
        <f t="shared" si="11"/>
        <v/>
      </c>
      <c r="AO15" s="18" t="str">
        <f t="shared" si="12"/>
        <v/>
      </c>
      <c r="AP15" s="140" t="str">
        <f t="shared" si="13"/>
        <v/>
      </c>
    </row>
    <row r="16" spans="1:42" x14ac:dyDescent="0.25">
      <c r="A16" s="71"/>
      <c r="C16" s="80" t="s">
        <v>168</v>
      </c>
      <c r="D16" s="114">
        <v>1.25</v>
      </c>
      <c r="F16" s="375" t="s">
        <v>336</v>
      </c>
      <c r="G16" s="376">
        <v>5.79E-2</v>
      </c>
      <c r="H16" s="377">
        <v>5.6000000000000001E-2</v>
      </c>
      <c r="I16" s="378">
        <v>0.75000100000000003</v>
      </c>
      <c r="J16" s="379">
        <v>0.9</v>
      </c>
      <c r="K16" s="380" t="s">
        <v>102</v>
      </c>
      <c r="L16" s="380" t="s">
        <v>103</v>
      </c>
      <c r="M16" s="380" t="s">
        <v>103</v>
      </c>
      <c r="N16" s="381">
        <v>0</v>
      </c>
      <c r="O16" s="381">
        <v>0</v>
      </c>
      <c r="P16" s="382" t="s">
        <v>103</v>
      </c>
      <c r="Q16" s="383"/>
      <c r="R16" s="384" t="s">
        <v>102</v>
      </c>
      <c r="S16" s="161" t="str">
        <f t="shared" si="15"/>
        <v/>
      </c>
      <c r="T16" s="32" t="str">
        <f>IF(U16="", "", MAX(T$3:$T15)+1)</f>
        <v/>
      </c>
      <c r="U16" s="216" t="str">
        <f>IF(AND(Direct="Broker", 'Metrics &amp; Drop Downs'!R16="No"), "", IF(Buy_to_Let=P16,IF(Island="Jersey", IF(M16="Yes", F16, ""), IF(Island="GHA",IF(L16="Yes", F16, ""), IF(K16="Yes", F16, ""))), ""))</f>
        <v/>
      </c>
      <c r="V16" s="127" t="str">
        <f t="shared" si="18"/>
        <v/>
      </c>
      <c r="W16" s="29" t="str">
        <f t="shared" si="16"/>
        <v/>
      </c>
      <c r="X16" s="218" t="str">
        <f t="shared" si="17"/>
        <v/>
      </c>
      <c r="Y16" s="11" t="str">
        <f t="shared" si="0"/>
        <v/>
      </c>
      <c r="Z16" s="32" t="e">
        <f>IF(AA16="", "", MAX($Z$3:Z15)+1)</f>
        <v>#DIV/0!</v>
      </c>
      <c r="AA16" s="139" t="e">
        <f t="shared" si="19"/>
        <v>#DIV/0!</v>
      </c>
      <c r="AB16" s="127" t="e">
        <f t="shared" si="1"/>
        <v>#DIV/0!</v>
      </c>
      <c r="AC16" s="29" t="e">
        <f t="shared" si="2"/>
        <v>#DIV/0!</v>
      </c>
      <c r="AD16" s="140" t="e">
        <f t="shared" si="3"/>
        <v>#DIV/0!</v>
      </c>
      <c r="AE16" s="138" t="e">
        <f t="shared" si="4"/>
        <v>#DIV/0!</v>
      </c>
      <c r="AG16" s="139" t="str">
        <f t="shared" si="5"/>
        <v/>
      </c>
      <c r="AH16" s="144" t="str">
        <f t="shared" si="6"/>
        <v/>
      </c>
      <c r="AI16" s="18" t="str">
        <f t="shared" si="7"/>
        <v/>
      </c>
      <c r="AJ16" s="140" t="str">
        <f t="shared" si="8"/>
        <v/>
      </c>
      <c r="AK16" s="11"/>
      <c r="AL16" s="156" t="str">
        <f t="shared" si="9"/>
        <v/>
      </c>
      <c r="AM16" s="139" t="str">
        <f t="shared" si="10"/>
        <v/>
      </c>
      <c r="AN16" s="144" t="str">
        <f t="shared" si="11"/>
        <v/>
      </c>
      <c r="AO16" s="18" t="str">
        <f t="shared" si="12"/>
        <v/>
      </c>
      <c r="AP16" s="140" t="str">
        <f t="shared" si="13"/>
        <v/>
      </c>
    </row>
    <row r="17" spans="1:42" x14ac:dyDescent="0.25">
      <c r="A17" s="71"/>
      <c r="C17" s="81" t="s">
        <v>169</v>
      </c>
      <c r="D17" s="115">
        <v>1.25</v>
      </c>
      <c r="F17" s="375"/>
      <c r="G17" s="376"/>
      <c r="H17" s="377"/>
      <c r="I17" s="378"/>
      <c r="J17" s="379"/>
      <c r="K17" s="380"/>
      <c r="L17" s="380"/>
      <c r="M17" s="380"/>
      <c r="N17" s="381"/>
      <c r="O17" s="381"/>
      <c r="P17" s="382"/>
      <c r="Q17" s="383"/>
      <c r="R17" s="384"/>
      <c r="S17" s="161" t="str">
        <f t="shared" si="15"/>
        <v/>
      </c>
      <c r="T17" s="32" t="str">
        <f>IF(U17="", "", MAX(T$3:$T16)+1)</f>
        <v/>
      </c>
      <c r="U17" s="216" t="str">
        <f>IF(AND(Direct="Broker", 'Metrics &amp; Drop Downs'!R17="No"), "", IF(Buy_to_Let=P17,IF(Island="Jersey", IF(M17="Yes", F17, ""), IF(Island="GHA",IF(L17="Yes", F17, ""), IF(K17="Yes", F17, ""))), ""))</f>
        <v/>
      </c>
      <c r="V17" s="127" t="str">
        <f t="shared" si="18"/>
        <v/>
      </c>
      <c r="W17" s="29" t="str">
        <f t="shared" si="16"/>
        <v/>
      </c>
      <c r="X17" s="218" t="str">
        <f t="shared" si="17"/>
        <v/>
      </c>
      <c r="Y17" s="11" t="str">
        <f t="shared" si="0"/>
        <v/>
      </c>
      <c r="Z17" s="32" t="e">
        <f>IF(AA17="", "", MAX($Z$3:Z16)+1)</f>
        <v>#DIV/0!</v>
      </c>
      <c r="AA17" s="139" t="e">
        <f t="shared" si="19"/>
        <v>#DIV/0!</v>
      </c>
      <c r="AB17" s="127" t="e">
        <f t="shared" si="1"/>
        <v>#DIV/0!</v>
      </c>
      <c r="AC17" s="29" t="e">
        <f t="shared" si="2"/>
        <v>#DIV/0!</v>
      </c>
      <c r="AD17" s="140" t="e">
        <f t="shared" si="3"/>
        <v>#DIV/0!</v>
      </c>
      <c r="AE17" s="138" t="e">
        <f t="shared" si="4"/>
        <v>#DIV/0!</v>
      </c>
      <c r="AG17" s="139" t="str">
        <f t="shared" si="5"/>
        <v/>
      </c>
      <c r="AH17" s="144" t="str">
        <f t="shared" si="6"/>
        <v/>
      </c>
      <c r="AI17" s="18" t="str">
        <f t="shared" si="7"/>
        <v/>
      </c>
      <c r="AJ17" s="140" t="str">
        <f t="shared" si="8"/>
        <v/>
      </c>
      <c r="AK17" s="11"/>
      <c r="AL17" s="156" t="str">
        <f t="shared" si="9"/>
        <v/>
      </c>
      <c r="AM17" s="139" t="str">
        <f t="shared" si="10"/>
        <v/>
      </c>
      <c r="AN17" s="144" t="str">
        <f t="shared" si="11"/>
        <v/>
      </c>
      <c r="AO17" s="18" t="str">
        <f t="shared" si="12"/>
        <v/>
      </c>
      <c r="AP17" s="140" t="str">
        <f t="shared" si="13"/>
        <v/>
      </c>
    </row>
    <row r="18" spans="1:42" x14ac:dyDescent="0.25">
      <c r="A18" s="47"/>
      <c r="F18" s="375" t="str">
        <f>F13</f>
        <v>5 Year Fixed to 60% LTV (FX)</v>
      </c>
      <c r="G18" s="376">
        <f>G13</f>
        <v>0</v>
      </c>
      <c r="H18" s="377"/>
      <c r="I18" s="378">
        <v>0</v>
      </c>
      <c r="J18" s="379">
        <v>0.6</v>
      </c>
      <c r="K18" s="380" t="s">
        <v>103</v>
      </c>
      <c r="L18" s="380" t="s">
        <v>103</v>
      </c>
      <c r="M18" s="380" t="s">
        <v>103</v>
      </c>
      <c r="N18" s="381">
        <v>0</v>
      </c>
      <c r="O18" s="381">
        <v>0</v>
      </c>
      <c r="P18" s="382" t="s">
        <v>103</v>
      </c>
      <c r="Q18" s="383"/>
      <c r="R18" s="384" t="s">
        <v>103</v>
      </c>
      <c r="S18" s="161" t="str">
        <f t="shared" si="15"/>
        <v/>
      </c>
      <c r="T18" s="32" t="str">
        <f>IF(U18="", "", MAX(T$3:$T17)+1)</f>
        <v/>
      </c>
      <c r="U18" s="216" t="str">
        <f>IF(AND(Direct="Broker", 'Metrics &amp; Drop Downs'!R18="No"), "", IF(Buy_to_Let=P18,IF(Island="Jersey", IF(M18="Yes", F18, ""), IF(Island="GHA",IF(L18="Yes", F18, ""), IF(K18="Yes", F18, ""))), ""))</f>
        <v/>
      </c>
      <c r="V18" s="127" t="str">
        <f t="shared" si="18"/>
        <v/>
      </c>
      <c r="W18" s="29" t="str">
        <f t="shared" si="16"/>
        <v/>
      </c>
      <c r="X18" s="218" t="str">
        <f t="shared" si="17"/>
        <v/>
      </c>
      <c r="Y18" s="11" t="str">
        <f t="shared" si="0"/>
        <v/>
      </c>
      <c r="Z18" s="32" t="e">
        <f>IF(AA18="", "", MAX($Z$3:Z17)+1)</f>
        <v>#DIV/0!</v>
      </c>
      <c r="AA18" s="139" t="e">
        <f t="shared" si="19"/>
        <v>#DIV/0!</v>
      </c>
      <c r="AB18" s="127" t="e">
        <f t="shared" si="1"/>
        <v>#DIV/0!</v>
      </c>
      <c r="AC18" s="29" t="e">
        <f t="shared" si="2"/>
        <v>#DIV/0!</v>
      </c>
      <c r="AD18" s="140" t="e">
        <f t="shared" si="3"/>
        <v>#DIV/0!</v>
      </c>
      <c r="AE18" s="138" t="e">
        <f t="shared" si="4"/>
        <v>#DIV/0!</v>
      </c>
      <c r="AG18" s="139" t="str">
        <f t="shared" si="5"/>
        <v/>
      </c>
      <c r="AH18" s="144" t="str">
        <f t="shared" si="6"/>
        <v/>
      </c>
      <c r="AI18" s="18" t="str">
        <f t="shared" si="7"/>
        <v/>
      </c>
      <c r="AJ18" s="140" t="str">
        <f t="shared" si="8"/>
        <v/>
      </c>
      <c r="AK18" s="11"/>
      <c r="AL18" s="156" t="str">
        <f t="shared" si="9"/>
        <v/>
      </c>
      <c r="AM18" s="139" t="str">
        <f t="shared" si="10"/>
        <v/>
      </c>
      <c r="AN18" s="144" t="str">
        <f t="shared" si="11"/>
        <v/>
      </c>
      <c r="AO18" s="18" t="str">
        <f t="shared" si="12"/>
        <v/>
      </c>
      <c r="AP18" s="140" t="str">
        <f t="shared" si="13"/>
        <v/>
      </c>
    </row>
    <row r="19" spans="1:42" x14ac:dyDescent="0.25">
      <c r="F19" s="375" t="str">
        <f>F14</f>
        <v>5 Year Fixed to 75% LTV (F0062)</v>
      </c>
      <c r="G19" s="376">
        <f>G14</f>
        <v>5.4899999999999997E-2</v>
      </c>
      <c r="H19" s="377">
        <f>H14</f>
        <v>5.5E-2</v>
      </c>
      <c r="I19" s="378">
        <v>9.9999999999999995E-7</v>
      </c>
      <c r="J19" s="379">
        <v>0.75</v>
      </c>
      <c r="K19" s="380" t="s">
        <v>103</v>
      </c>
      <c r="L19" s="380" t="s">
        <v>103</v>
      </c>
      <c r="M19" s="380" t="s">
        <v>102</v>
      </c>
      <c r="N19" s="381">
        <v>0</v>
      </c>
      <c r="O19" s="381">
        <v>0</v>
      </c>
      <c r="P19" s="382" t="s">
        <v>103</v>
      </c>
      <c r="Q19" s="383"/>
      <c r="R19" s="384" t="s">
        <v>102</v>
      </c>
      <c r="S19" s="161" t="str">
        <f t="shared" si="15"/>
        <v/>
      </c>
      <c r="T19" s="32">
        <f>IF(U19="", "", MAX(T$3:$T18)+1)</f>
        <v>3</v>
      </c>
      <c r="U19" s="216" t="str">
        <f>IF(AND(Direct="Broker", 'Metrics &amp; Drop Downs'!R19="No"), "", IF(Buy_to_Let=P19,IF(Island="Jersey", IF(M19="Yes", F19, ""), IF(Island="GHA",IF(L19="Yes", F19, ""), IF(K19="Yes", F19, ""))), ""))</f>
        <v>5 Year Fixed to 75% LTV (F0062)</v>
      </c>
      <c r="V19" s="127">
        <f t="shared" si="18"/>
        <v>5.4899999999999997E-2</v>
      </c>
      <c r="W19" s="29">
        <f t="shared" si="16"/>
        <v>5.5E-2</v>
      </c>
      <c r="X19" s="218">
        <f t="shared" si="17"/>
        <v>0</v>
      </c>
      <c r="Y19" s="11" t="str">
        <f t="shared" si="0"/>
        <v>|</v>
      </c>
      <c r="Z19" s="32" t="e">
        <f>IF(AA19="", "", MAX($Z$3:Z18)+1)</f>
        <v>#DIV/0!</v>
      </c>
      <c r="AA19" s="139" t="e">
        <f t="shared" si="19"/>
        <v>#DIV/0!</v>
      </c>
      <c r="AB19" s="127" t="e">
        <f t="shared" si="1"/>
        <v>#DIV/0!</v>
      </c>
      <c r="AC19" s="29" t="e">
        <f t="shared" si="2"/>
        <v>#DIV/0!</v>
      </c>
      <c r="AD19" s="140" t="e">
        <f t="shared" si="3"/>
        <v>#DIV/0!</v>
      </c>
      <c r="AE19" s="138" t="e">
        <f t="shared" si="4"/>
        <v>#DIV/0!</v>
      </c>
      <c r="AG19" s="139" t="str">
        <f t="shared" si="5"/>
        <v/>
      </c>
      <c r="AH19" s="144" t="str">
        <f t="shared" si="6"/>
        <v/>
      </c>
      <c r="AI19" s="18" t="str">
        <f t="shared" si="7"/>
        <v/>
      </c>
      <c r="AJ19" s="140" t="str">
        <f t="shared" si="8"/>
        <v/>
      </c>
      <c r="AK19" s="11"/>
      <c r="AL19" s="156" t="str">
        <f t="shared" si="9"/>
        <v/>
      </c>
      <c r="AM19" s="139" t="str">
        <f t="shared" si="10"/>
        <v/>
      </c>
      <c r="AN19" s="144" t="str">
        <f t="shared" si="11"/>
        <v/>
      </c>
      <c r="AO19" s="18" t="str">
        <f t="shared" si="12"/>
        <v/>
      </c>
      <c r="AP19" s="140" t="str">
        <f t="shared" si="13"/>
        <v/>
      </c>
    </row>
    <row r="20" spans="1:42" x14ac:dyDescent="0.25">
      <c r="A20" s="6" t="s">
        <v>43</v>
      </c>
      <c r="B20" s="8"/>
      <c r="C20" s="34"/>
      <c r="D20" s="11"/>
      <c r="F20" s="375" t="str">
        <f>F15</f>
        <v>5 Year Fixed to 85% LTV (F0054)</v>
      </c>
      <c r="G20" s="376">
        <f t="shared" ref="G20:H20" si="21">G15</f>
        <v>3.9899999999999998E-2</v>
      </c>
      <c r="H20" s="377">
        <f t="shared" si="21"/>
        <v>4.3999999999999997E-2</v>
      </c>
      <c r="I20" s="378">
        <v>9.9999999999999995E-7</v>
      </c>
      <c r="J20" s="379">
        <v>0.85</v>
      </c>
      <c r="K20" s="380" t="s">
        <v>103</v>
      </c>
      <c r="L20" s="380" t="s">
        <v>103</v>
      </c>
      <c r="M20" s="380" t="s">
        <v>103</v>
      </c>
      <c r="N20" s="381">
        <v>0</v>
      </c>
      <c r="O20" s="381">
        <v>0</v>
      </c>
      <c r="P20" s="382" t="s">
        <v>103</v>
      </c>
      <c r="Q20" s="383"/>
      <c r="R20" s="384" t="s">
        <v>102</v>
      </c>
      <c r="S20" s="161" t="str">
        <f t="shared" si="15"/>
        <v/>
      </c>
      <c r="T20" s="32" t="str">
        <f>IF(U20="", "", MAX(T$3:$T19)+1)</f>
        <v/>
      </c>
      <c r="U20" s="216" t="str">
        <f>IF(AND(Direct="Broker", 'Metrics &amp; Drop Downs'!R20="No"), "", IF(Buy_to_Let=P20,IF(Island="Jersey", IF(M20="Yes", F20, ""), IF(Island="GHA",IF(L20="Yes", F20, ""), IF(K20="Yes", F20, ""))), ""))</f>
        <v/>
      </c>
      <c r="V20" s="127" t="str">
        <f t="shared" si="18"/>
        <v/>
      </c>
      <c r="W20" s="29" t="str">
        <f t="shared" si="16"/>
        <v/>
      </c>
      <c r="X20" s="218" t="str">
        <f t="shared" si="17"/>
        <v/>
      </c>
      <c r="Y20" s="11" t="str">
        <f t="shared" si="0"/>
        <v/>
      </c>
      <c r="Z20" s="32" t="e">
        <f>IF(AA20="", "", MAX($Z$3:Z19)+1)</f>
        <v>#DIV/0!</v>
      </c>
      <c r="AA20" s="139" t="e">
        <f t="shared" si="19"/>
        <v>#DIV/0!</v>
      </c>
      <c r="AB20" s="127" t="e">
        <f t="shared" si="1"/>
        <v>#DIV/0!</v>
      </c>
      <c r="AC20" s="29" t="e">
        <f t="shared" si="2"/>
        <v>#DIV/0!</v>
      </c>
      <c r="AD20" s="140" t="e">
        <f t="shared" si="3"/>
        <v>#DIV/0!</v>
      </c>
      <c r="AE20" s="138" t="e">
        <f t="shared" si="4"/>
        <v>#DIV/0!</v>
      </c>
      <c r="AG20" s="139" t="str">
        <f t="shared" si="5"/>
        <v/>
      </c>
      <c r="AH20" s="144" t="str">
        <f t="shared" si="6"/>
        <v/>
      </c>
      <c r="AI20" s="18" t="str">
        <f t="shared" si="7"/>
        <v/>
      </c>
      <c r="AJ20" s="140" t="str">
        <f t="shared" si="8"/>
        <v/>
      </c>
      <c r="AK20" s="11"/>
      <c r="AL20" s="156" t="str">
        <f t="shared" si="9"/>
        <v/>
      </c>
      <c r="AM20" s="139" t="str">
        <f t="shared" si="10"/>
        <v/>
      </c>
      <c r="AN20" s="144" t="str">
        <f t="shared" si="11"/>
        <v/>
      </c>
      <c r="AO20" s="18" t="str">
        <f t="shared" si="12"/>
        <v/>
      </c>
      <c r="AP20" s="140" t="str">
        <f t="shared" si="13"/>
        <v/>
      </c>
    </row>
    <row r="21" spans="1:42" x14ac:dyDescent="0.25">
      <c r="A21" s="9" t="s">
        <v>44</v>
      </c>
      <c r="B21" s="78">
        <v>0</v>
      </c>
      <c r="C21" s="79"/>
      <c r="D21" s="79"/>
      <c r="F21" s="375" t="str">
        <f>F16</f>
        <v>5 Year Fixed to 90% LTV (F0063)</v>
      </c>
      <c r="G21" s="376">
        <f t="shared" ref="G21" si="22">G16</f>
        <v>5.79E-2</v>
      </c>
      <c r="H21" s="377">
        <f>H16</f>
        <v>5.6000000000000001E-2</v>
      </c>
      <c r="I21" s="378">
        <v>0.75000100000000003</v>
      </c>
      <c r="J21" s="379">
        <v>0.9</v>
      </c>
      <c r="K21" s="380" t="s">
        <v>103</v>
      </c>
      <c r="L21" s="380" t="s">
        <v>103</v>
      </c>
      <c r="M21" s="380" t="s">
        <v>102</v>
      </c>
      <c r="N21" s="381">
        <v>0</v>
      </c>
      <c r="O21" s="381">
        <v>0</v>
      </c>
      <c r="P21" s="382" t="s">
        <v>103</v>
      </c>
      <c r="Q21" s="383"/>
      <c r="R21" s="384" t="s">
        <v>102</v>
      </c>
      <c r="S21" s="161" t="str">
        <f t="shared" si="15"/>
        <v/>
      </c>
      <c r="T21" s="32">
        <f>IF(U21="", "", MAX(T$3:$T20)+1)</f>
        <v>4</v>
      </c>
      <c r="U21" s="216" t="str">
        <f>IF(AND(Direct="Broker", 'Metrics &amp; Drop Downs'!R21="No"), "", IF(Buy_to_Let=P21,IF(Island="Jersey", IF(M21="Yes", F21, ""), IF(Island="GHA",IF(L21="Yes", F21, ""), IF(K21="Yes", F21, ""))), ""))</f>
        <v>5 Year Fixed to 90% LTV (F0063)</v>
      </c>
      <c r="V21" s="127">
        <f t="shared" si="18"/>
        <v>5.79E-2</v>
      </c>
      <c r="W21" s="29">
        <f t="shared" si="16"/>
        <v>5.6000000000000001E-2</v>
      </c>
      <c r="X21" s="218">
        <f t="shared" si="17"/>
        <v>0</v>
      </c>
      <c r="Y21" s="11" t="str">
        <f t="shared" si="0"/>
        <v>|</v>
      </c>
      <c r="Z21" s="32" t="e">
        <f>IF(AA21="", "", MAX($Z$3:Z20)+1)</f>
        <v>#DIV/0!</v>
      </c>
      <c r="AA21" s="139" t="e">
        <f>IF(Buy_to_Let="Yes", IF(AND(LTV&lt;=$J21, LTV&gt;=$I21, Amount_Requested&lt;=S21),U21, ""), IF(AND(LTV&lt;=$J21, LTV&gt;=$I21),U21, ""))</f>
        <v>#DIV/0!</v>
      </c>
      <c r="AB21" s="127" t="e">
        <f t="shared" si="1"/>
        <v>#DIV/0!</v>
      </c>
      <c r="AC21" s="29" t="e">
        <f t="shared" si="2"/>
        <v>#DIV/0!</v>
      </c>
      <c r="AD21" s="140" t="e">
        <f t="shared" si="3"/>
        <v>#DIV/0!</v>
      </c>
      <c r="AE21" s="138" t="e">
        <f t="shared" si="4"/>
        <v>#DIV/0!</v>
      </c>
      <c r="AG21" s="139" t="str">
        <f t="shared" si="5"/>
        <v/>
      </c>
      <c r="AH21" s="144" t="str">
        <f t="shared" si="6"/>
        <v/>
      </c>
      <c r="AI21" s="18" t="str">
        <f t="shared" si="7"/>
        <v/>
      </c>
      <c r="AJ21" s="140" t="str">
        <f t="shared" si="8"/>
        <v/>
      </c>
      <c r="AK21" s="11"/>
      <c r="AL21" s="156" t="str">
        <f t="shared" si="9"/>
        <v/>
      </c>
      <c r="AM21" s="139" t="str">
        <f t="shared" si="10"/>
        <v/>
      </c>
      <c r="AN21" s="144" t="str">
        <f t="shared" si="11"/>
        <v/>
      </c>
      <c r="AO21" s="18" t="str">
        <f t="shared" si="12"/>
        <v/>
      </c>
      <c r="AP21" s="140" t="str">
        <f t="shared" si="13"/>
        <v/>
      </c>
    </row>
    <row r="22" spans="1:42" x14ac:dyDescent="0.25">
      <c r="A22" s="9" t="s">
        <v>19</v>
      </c>
      <c r="B22" s="78">
        <v>0</v>
      </c>
      <c r="C22" s="79"/>
      <c r="D22" s="79"/>
      <c r="F22" s="375"/>
      <c r="G22" s="376">
        <f t="shared" ref="G22:H22" si="23">G17</f>
        <v>0</v>
      </c>
      <c r="H22" s="377">
        <f t="shared" si="23"/>
        <v>0</v>
      </c>
      <c r="I22" s="378">
        <f>J21+0.0001%</f>
        <v>0.90000100000000005</v>
      </c>
      <c r="J22" s="379">
        <v>0.9</v>
      </c>
      <c r="K22" s="380" t="s">
        <v>103</v>
      </c>
      <c r="L22" s="380" t="s">
        <v>103</v>
      </c>
      <c r="M22" s="380" t="s">
        <v>103</v>
      </c>
      <c r="N22" s="381">
        <v>0</v>
      </c>
      <c r="O22" s="381">
        <v>0</v>
      </c>
      <c r="P22" s="382" t="s">
        <v>103</v>
      </c>
      <c r="Q22" s="383"/>
      <c r="R22" s="384" t="s">
        <v>102</v>
      </c>
      <c r="S22" s="161" t="str">
        <f t="shared" si="15"/>
        <v/>
      </c>
      <c r="T22" s="32" t="str">
        <f>IF(U22="", "", MAX(T$3:$T21)+1)</f>
        <v/>
      </c>
      <c r="U22" s="216" t="str">
        <f>IF(AND(Direct="Broker", 'Metrics &amp; Drop Downs'!R22="No"), "", IF(Buy_to_Let=P22,IF(Island="Jersey", IF(M22="Yes", F22, ""), IF(Island="GHA",IF(L22="Yes", F22, ""), IF(K22="Yes", F22, ""))), ""))</f>
        <v/>
      </c>
      <c r="V22" s="127" t="str">
        <f t="shared" si="18"/>
        <v/>
      </c>
      <c r="W22" s="29" t="str">
        <f t="shared" si="16"/>
        <v/>
      </c>
      <c r="X22" s="218" t="str">
        <f t="shared" si="17"/>
        <v/>
      </c>
      <c r="Y22" s="11" t="str">
        <f t="shared" si="0"/>
        <v/>
      </c>
      <c r="Z22" s="32" t="e">
        <f>IF(AA22="", "", MAX($Z$3:Z21)+1)</f>
        <v>#DIV/0!</v>
      </c>
      <c r="AA22" s="139" t="e">
        <f t="shared" si="19"/>
        <v>#DIV/0!</v>
      </c>
      <c r="AB22" s="127" t="e">
        <f t="shared" si="1"/>
        <v>#DIV/0!</v>
      </c>
      <c r="AC22" s="29" t="e">
        <f t="shared" si="2"/>
        <v>#DIV/0!</v>
      </c>
      <c r="AD22" s="140" t="e">
        <f t="shared" si="3"/>
        <v>#DIV/0!</v>
      </c>
      <c r="AE22" s="138" t="e">
        <f t="shared" si="4"/>
        <v>#DIV/0!</v>
      </c>
      <c r="AG22" s="139" t="str">
        <f>IFERROR(INDEX(AA$4:AA$31,MATCH(ROW()-ROW(AG$3),$Z$4:$Z$31,0)),"")</f>
        <v/>
      </c>
      <c r="AH22" s="144" t="str">
        <f t="shared" si="6"/>
        <v/>
      </c>
      <c r="AI22" s="18" t="str">
        <f t="shared" si="7"/>
        <v/>
      </c>
      <c r="AJ22" s="140" t="str">
        <f t="shared" si="8"/>
        <v/>
      </c>
      <c r="AK22" s="11"/>
      <c r="AL22" s="156" t="str">
        <f t="shared" si="9"/>
        <v/>
      </c>
      <c r="AM22" s="139" t="str">
        <f t="shared" si="10"/>
        <v/>
      </c>
      <c r="AN22" s="144" t="str">
        <f t="shared" si="11"/>
        <v/>
      </c>
      <c r="AO22" s="18" t="str">
        <f t="shared" si="12"/>
        <v/>
      </c>
      <c r="AP22" s="140" t="str">
        <f t="shared" si="13"/>
        <v/>
      </c>
    </row>
    <row r="23" spans="1:42" x14ac:dyDescent="0.25">
      <c r="A23" s="9"/>
      <c r="B23" s="78"/>
      <c r="C23" s="79"/>
      <c r="D23" s="79"/>
      <c r="F23" s="375" t="s">
        <v>337</v>
      </c>
      <c r="G23" s="376">
        <v>6.2899999999999998E-2</v>
      </c>
      <c r="H23" s="377">
        <v>5.8999999999999997E-2</v>
      </c>
      <c r="I23" s="378">
        <v>0</v>
      </c>
      <c r="J23" s="379">
        <v>0.8</v>
      </c>
      <c r="K23" s="380" t="s">
        <v>103</v>
      </c>
      <c r="L23" s="380" t="s">
        <v>102</v>
      </c>
      <c r="M23" s="380" t="s">
        <v>103</v>
      </c>
      <c r="N23" s="381">
        <v>0</v>
      </c>
      <c r="O23" s="381">
        <v>0</v>
      </c>
      <c r="P23" s="382" t="s">
        <v>103</v>
      </c>
      <c r="Q23" s="383"/>
      <c r="R23" s="384" t="s">
        <v>103</v>
      </c>
      <c r="S23" s="161" t="str">
        <f t="shared" si="15"/>
        <v/>
      </c>
      <c r="T23" s="32" t="str">
        <f>IF(U23="", "", MAX(T$3:$T22)+1)</f>
        <v/>
      </c>
      <c r="U23" s="216" t="str">
        <f>IF(AND(Direct="Broker", 'Metrics &amp; Drop Downs'!R23="No"), "", IF(Buy_to_Let=P23,IF(Island="Jersey", IF(M23="Yes", F23, ""), IF(Island="GHA",IF(L23="Yes", F23, ""), IF(K23="Yes", F23, ""))), ""))</f>
        <v/>
      </c>
      <c r="V23" s="127" t="str">
        <f t="shared" si="18"/>
        <v/>
      </c>
      <c r="W23" s="29" t="str">
        <f t="shared" si="16"/>
        <v/>
      </c>
      <c r="X23" s="218" t="str">
        <f t="shared" si="17"/>
        <v/>
      </c>
      <c r="Y23" s="11" t="str">
        <f t="shared" si="0"/>
        <v/>
      </c>
      <c r="Z23" s="32" t="e">
        <f>IF(AA23="", "", MAX($Z$3:Z22)+1)</f>
        <v>#DIV/0!</v>
      </c>
      <c r="AA23" s="139" t="e">
        <f t="shared" si="19"/>
        <v>#DIV/0!</v>
      </c>
      <c r="AB23" s="127" t="e">
        <f t="shared" si="1"/>
        <v>#DIV/0!</v>
      </c>
      <c r="AC23" s="29" t="e">
        <f t="shared" si="2"/>
        <v>#DIV/0!</v>
      </c>
      <c r="AD23" s="140" t="e">
        <f t="shared" si="3"/>
        <v>#DIV/0!</v>
      </c>
      <c r="AE23" s="138" t="e">
        <f t="shared" si="4"/>
        <v>#DIV/0!</v>
      </c>
      <c r="AG23" s="139" t="str">
        <f t="shared" si="5"/>
        <v/>
      </c>
      <c r="AH23" s="144" t="str">
        <f t="shared" si="6"/>
        <v/>
      </c>
      <c r="AI23" s="18" t="str">
        <f t="shared" si="7"/>
        <v/>
      </c>
      <c r="AJ23" s="140" t="str">
        <f t="shared" si="8"/>
        <v/>
      </c>
      <c r="AK23" s="11"/>
      <c r="AL23" s="156" t="str">
        <f t="shared" si="9"/>
        <v/>
      </c>
      <c r="AM23" s="139" t="str">
        <f t="shared" si="10"/>
        <v/>
      </c>
      <c r="AN23" s="144" t="str">
        <f t="shared" si="11"/>
        <v/>
      </c>
      <c r="AO23" s="18" t="str">
        <f t="shared" si="12"/>
        <v/>
      </c>
      <c r="AP23" s="140" t="str">
        <f t="shared" si="13"/>
        <v/>
      </c>
    </row>
    <row r="24" spans="1:42" x14ac:dyDescent="0.25">
      <c r="A24" s="9"/>
      <c r="B24" s="78"/>
      <c r="C24" s="79"/>
      <c r="D24" s="79"/>
      <c r="F24" s="375" t="s">
        <v>338</v>
      </c>
      <c r="G24" s="376">
        <v>6.2899999999999998E-2</v>
      </c>
      <c r="H24" s="377">
        <v>5.8999999999999997E-2</v>
      </c>
      <c r="I24" s="378">
        <v>0.90000100000000005</v>
      </c>
      <c r="J24" s="379">
        <v>1</v>
      </c>
      <c r="K24" s="380" t="s">
        <v>102</v>
      </c>
      <c r="L24" s="380" t="s">
        <v>103</v>
      </c>
      <c r="M24" s="380" t="s">
        <v>102</v>
      </c>
      <c r="N24" s="381">
        <v>0</v>
      </c>
      <c r="O24" s="381">
        <v>0</v>
      </c>
      <c r="P24" s="382" t="s">
        <v>103</v>
      </c>
      <c r="Q24" s="383"/>
      <c r="R24" s="384" t="s">
        <v>103</v>
      </c>
      <c r="S24" s="161" t="str">
        <f t="shared" si="15"/>
        <v/>
      </c>
      <c r="T24" s="32" t="str">
        <f>IF(U24="", "", MAX(T$3:$T23)+1)</f>
        <v/>
      </c>
      <c r="U24" s="216" t="str">
        <f>IF(AND(Direct="Broker", 'Metrics &amp; Drop Downs'!R24="No"), "", IF(Buy_to_Let=P24,IF(Island="Jersey", IF(M24="Yes", F24, ""), IF(Island="GHA",IF(L24="Yes", F24, ""), IF(K24="Yes", F24, ""))), ""))</f>
        <v/>
      </c>
      <c r="V24" s="127" t="str">
        <f t="shared" si="18"/>
        <v/>
      </c>
      <c r="W24" s="29" t="str">
        <f t="shared" si="16"/>
        <v/>
      </c>
      <c r="X24" s="218" t="str">
        <f t="shared" si="17"/>
        <v/>
      </c>
      <c r="Y24" s="11" t="str">
        <f t="shared" si="0"/>
        <v/>
      </c>
      <c r="Z24" s="32" t="e">
        <f>IF(AA24="", "", MAX($Z$3:Z23)+1)</f>
        <v>#DIV/0!</v>
      </c>
      <c r="AA24" s="139" t="e">
        <f t="shared" si="19"/>
        <v>#DIV/0!</v>
      </c>
      <c r="AB24" s="127" t="e">
        <f t="shared" si="1"/>
        <v>#DIV/0!</v>
      </c>
      <c r="AC24" s="29" t="e">
        <f t="shared" si="2"/>
        <v>#DIV/0!</v>
      </c>
      <c r="AD24" s="140" t="e">
        <f t="shared" si="3"/>
        <v>#DIV/0!</v>
      </c>
      <c r="AE24" s="138" t="e">
        <f t="shared" si="4"/>
        <v>#DIV/0!</v>
      </c>
      <c r="AG24" s="139" t="str">
        <f t="shared" si="5"/>
        <v/>
      </c>
      <c r="AH24" s="144" t="str">
        <f t="shared" si="6"/>
        <v/>
      </c>
      <c r="AI24" s="18" t="str">
        <f t="shared" si="7"/>
        <v/>
      </c>
      <c r="AJ24" s="140" t="str">
        <f t="shared" si="8"/>
        <v/>
      </c>
      <c r="AK24" s="11"/>
      <c r="AL24" s="156" t="str">
        <f t="shared" si="9"/>
        <v/>
      </c>
      <c r="AM24" s="139" t="str">
        <f t="shared" si="10"/>
        <v/>
      </c>
      <c r="AN24" s="144" t="str">
        <f t="shared" si="11"/>
        <v/>
      </c>
      <c r="AO24" s="18" t="str">
        <f t="shared" si="12"/>
        <v/>
      </c>
      <c r="AP24" s="140" t="str">
        <f t="shared" si="13"/>
        <v/>
      </c>
    </row>
    <row r="25" spans="1:42" x14ac:dyDescent="0.25">
      <c r="A25" s="9"/>
      <c r="B25" s="78"/>
      <c r="C25" s="79"/>
      <c r="D25" s="79"/>
      <c r="F25" s="375" t="s">
        <v>329</v>
      </c>
      <c r="G25" s="376">
        <v>4.0899999999999999E-2</v>
      </c>
      <c r="H25" s="377">
        <v>5.0999999999999997E-2</v>
      </c>
      <c r="I25" s="378">
        <v>0</v>
      </c>
      <c r="J25" s="379">
        <v>0.75</v>
      </c>
      <c r="K25" s="380" t="s">
        <v>103</v>
      </c>
      <c r="L25" s="380" t="s">
        <v>103</v>
      </c>
      <c r="M25" s="380" t="s">
        <v>103</v>
      </c>
      <c r="N25" s="381">
        <v>0</v>
      </c>
      <c r="O25" s="381">
        <v>0</v>
      </c>
      <c r="P25" s="382" t="s">
        <v>103</v>
      </c>
      <c r="Q25" s="383"/>
      <c r="R25" s="384" t="s">
        <v>103</v>
      </c>
      <c r="S25" s="161" t="str">
        <f t="shared" si="15"/>
        <v/>
      </c>
      <c r="T25" s="32" t="str">
        <f>IF(U25="", "", MAX(T$3:$T24)+1)</f>
        <v/>
      </c>
      <c r="U25" s="139" t="str">
        <f>IF(AND(Direct="Broker", 'Metrics &amp; Drop Downs'!R25="No"), "", IF(Buy_to_Let=P25,IF(Island="Jersey", IF(M25="Yes", F25, ""), IF(Island="GHA",IF(L25="Yes", F25, ""), IF(K25="Yes", F25, ""))), ""))</f>
        <v/>
      </c>
      <c r="V25" s="127" t="str">
        <f t="shared" si="18"/>
        <v/>
      </c>
      <c r="W25" s="29" t="str">
        <f t="shared" si="16"/>
        <v/>
      </c>
      <c r="X25" s="218" t="str">
        <f t="shared" si="17"/>
        <v/>
      </c>
      <c r="Y25" s="11" t="str">
        <f t="shared" si="0"/>
        <v/>
      </c>
      <c r="Z25" s="32" t="e">
        <f>IF(AA25="", "", MAX($Z$3:Z24)+1)</f>
        <v>#DIV/0!</v>
      </c>
      <c r="AA25" s="139" t="e">
        <f t="shared" si="19"/>
        <v>#DIV/0!</v>
      </c>
      <c r="AB25" s="127" t="e">
        <f t="shared" si="1"/>
        <v>#DIV/0!</v>
      </c>
      <c r="AC25" s="29" t="e">
        <f t="shared" si="2"/>
        <v>#DIV/0!</v>
      </c>
      <c r="AD25" s="140" t="e">
        <f t="shared" si="3"/>
        <v>#DIV/0!</v>
      </c>
      <c r="AE25" s="138" t="e">
        <f t="shared" si="4"/>
        <v>#DIV/0!</v>
      </c>
      <c r="AG25" s="139" t="str">
        <f t="shared" si="5"/>
        <v/>
      </c>
      <c r="AH25" s="144" t="str">
        <f t="shared" si="6"/>
        <v/>
      </c>
      <c r="AI25" s="18" t="str">
        <f t="shared" si="7"/>
        <v/>
      </c>
      <c r="AJ25" s="140" t="str">
        <f t="shared" si="8"/>
        <v/>
      </c>
      <c r="AK25" s="11"/>
      <c r="AL25" s="156" t="str">
        <f t="shared" si="9"/>
        <v/>
      </c>
      <c r="AM25" s="139" t="str">
        <f t="shared" si="10"/>
        <v/>
      </c>
      <c r="AN25" s="144" t="str">
        <f t="shared" si="11"/>
        <v/>
      </c>
      <c r="AO25" s="18" t="str">
        <f t="shared" si="12"/>
        <v/>
      </c>
      <c r="AP25" s="140" t="str">
        <f t="shared" si="13"/>
        <v/>
      </c>
    </row>
    <row r="26" spans="1:42" x14ac:dyDescent="0.25">
      <c r="A26" s="9"/>
      <c r="B26" s="78"/>
      <c r="C26" s="79"/>
      <c r="D26" s="79"/>
      <c r="F26" s="375" t="s">
        <v>339</v>
      </c>
      <c r="G26" s="376">
        <v>6.2899999999999998E-2</v>
      </c>
      <c r="H26" s="377">
        <v>6.5000000000000002E-2</v>
      </c>
      <c r="I26" s="378">
        <v>0</v>
      </c>
      <c r="J26" s="379">
        <v>0.75</v>
      </c>
      <c r="K26" s="380" t="s">
        <v>102</v>
      </c>
      <c r="L26" s="380" t="s">
        <v>103</v>
      </c>
      <c r="M26" s="380" t="s">
        <v>102</v>
      </c>
      <c r="N26" s="381">
        <v>0</v>
      </c>
      <c r="O26" s="381">
        <v>0</v>
      </c>
      <c r="P26" s="382" t="s">
        <v>102</v>
      </c>
      <c r="Q26" s="383">
        <f>G26</f>
        <v>6.2899999999999998E-2</v>
      </c>
      <c r="R26" s="384" t="s">
        <v>102</v>
      </c>
      <c r="S26" s="161" t="str">
        <f t="shared" si="15"/>
        <v/>
      </c>
      <c r="T26" s="32" t="str">
        <f>IF(U26="", "", MAX(T$3:$T25)+1)</f>
        <v/>
      </c>
      <c r="U26" s="216" t="str">
        <f>IF(AND(Direct="Broker", 'Metrics &amp; Drop Downs'!R26="No"), "", IF(Buy_to_Let=P26,IF(Island="Jersey", IF(M26="Yes", F26, ""), IF(Island="GHA",IF(L26="Yes", F26, ""), IF(K26="Yes", F26, ""))), ""))</f>
        <v/>
      </c>
      <c r="V26" s="127" t="str">
        <f t="shared" si="18"/>
        <v/>
      </c>
      <c r="W26" s="29" t="str">
        <f t="shared" si="16"/>
        <v/>
      </c>
      <c r="X26" s="218" t="str">
        <f t="shared" si="17"/>
        <v/>
      </c>
      <c r="Y26" s="11" t="str">
        <f t="shared" si="0"/>
        <v/>
      </c>
      <c r="Z26" s="32" t="e">
        <f>IF(AA26="", "", MAX($Z$3:Z25)+1)</f>
        <v>#DIV/0!</v>
      </c>
      <c r="AA26" s="139" t="e">
        <f t="shared" si="19"/>
        <v>#DIV/0!</v>
      </c>
      <c r="AB26" s="127" t="e">
        <f t="shared" si="1"/>
        <v>#DIV/0!</v>
      </c>
      <c r="AC26" s="29" t="e">
        <f t="shared" si="2"/>
        <v>#DIV/0!</v>
      </c>
      <c r="AD26" s="140" t="e">
        <f t="shared" si="3"/>
        <v>#DIV/0!</v>
      </c>
      <c r="AE26" s="138" t="e">
        <f t="shared" si="4"/>
        <v>#DIV/0!</v>
      </c>
      <c r="AG26" s="139" t="str">
        <f>IFERROR(INDEX(AA$4:AA$31,MATCH(ROW()-ROW(AG$3),$Z$4:$Z$31,0)),"")</f>
        <v/>
      </c>
      <c r="AH26" s="144" t="str">
        <f t="shared" si="6"/>
        <v/>
      </c>
      <c r="AI26" s="18" t="str">
        <f t="shared" si="7"/>
        <v/>
      </c>
      <c r="AJ26" s="140" t="str">
        <f t="shared" si="8"/>
        <v/>
      </c>
      <c r="AK26" s="11"/>
      <c r="AL26" s="156" t="str">
        <f t="shared" si="9"/>
        <v/>
      </c>
      <c r="AM26" s="139" t="str">
        <f t="shared" si="10"/>
        <v/>
      </c>
      <c r="AN26" s="144" t="str">
        <f t="shared" si="11"/>
        <v/>
      </c>
      <c r="AO26" s="18" t="str">
        <f t="shared" si="12"/>
        <v/>
      </c>
      <c r="AP26" s="140" t="str">
        <f t="shared" si="13"/>
        <v/>
      </c>
    </row>
    <row r="27" spans="1:42" x14ac:dyDescent="0.25">
      <c r="A27" s="80" t="s">
        <v>42</v>
      </c>
      <c r="B27" s="44">
        <v>500000</v>
      </c>
      <c r="C27" s="11"/>
      <c r="D27" s="11"/>
      <c r="F27" s="109"/>
      <c r="G27" s="110"/>
      <c r="H27" s="130"/>
      <c r="I27" s="205"/>
      <c r="J27" s="111"/>
      <c r="K27" s="112"/>
      <c r="L27" s="112"/>
      <c r="M27" s="112"/>
      <c r="N27" s="108"/>
      <c r="O27" s="108"/>
      <c r="P27" s="278"/>
      <c r="Q27" s="185"/>
      <c r="R27" s="372"/>
      <c r="S27" s="161" t="str">
        <f t="shared" si="15"/>
        <v/>
      </c>
      <c r="T27" s="32" t="str">
        <f>IF(U27="", "", MAX(T$3:$T26)+1)</f>
        <v/>
      </c>
      <c r="U27" s="139" t="str">
        <f>IF(AND(Direct="Broker", 'Metrics &amp; Drop Downs'!R27="No"), "", IF(Buy_to_Let=P27,IF(Island="Jersey", IF(M27="Yes", F27, ""), IF(Island="GHA",IF(L27="Yes", F27, ""), IF(K27="Yes", F27, ""))), ""))</f>
        <v/>
      </c>
      <c r="V27" s="127" t="str">
        <f t="shared" si="18"/>
        <v/>
      </c>
      <c r="W27" s="29" t="str">
        <f t="shared" si="16"/>
        <v/>
      </c>
      <c r="X27" s="218" t="str">
        <f t="shared" si="17"/>
        <v/>
      </c>
      <c r="Y27" s="11" t="str">
        <f t="shared" si="0"/>
        <v/>
      </c>
      <c r="Z27" s="32" t="e">
        <f>IF(AA27="", "", MAX($Z$3:Z26)+1)</f>
        <v>#DIV/0!</v>
      </c>
      <c r="AA27" s="139" t="e">
        <f t="shared" si="19"/>
        <v>#DIV/0!</v>
      </c>
      <c r="AB27" s="127" t="e">
        <f t="shared" si="1"/>
        <v>#DIV/0!</v>
      </c>
      <c r="AC27" s="29" t="e">
        <f t="shared" si="2"/>
        <v>#DIV/0!</v>
      </c>
      <c r="AD27" s="140" t="e">
        <f t="shared" si="3"/>
        <v>#DIV/0!</v>
      </c>
      <c r="AE27" s="138" t="e">
        <f t="shared" si="4"/>
        <v>#DIV/0!</v>
      </c>
      <c r="AG27" s="139" t="str">
        <f t="shared" si="5"/>
        <v/>
      </c>
      <c r="AH27" s="144" t="str">
        <f t="shared" si="6"/>
        <v/>
      </c>
      <c r="AI27" s="18" t="str">
        <f t="shared" si="7"/>
        <v/>
      </c>
      <c r="AJ27" s="140" t="str">
        <f t="shared" si="8"/>
        <v/>
      </c>
      <c r="AK27" s="11"/>
      <c r="AL27" s="156" t="str">
        <f t="shared" si="9"/>
        <v/>
      </c>
      <c r="AM27" s="139" t="str">
        <f t="shared" si="10"/>
        <v/>
      </c>
      <c r="AN27" s="144" t="str">
        <f t="shared" si="11"/>
        <v/>
      </c>
      <c r="AO27" s="18" t="str">
        <f t="shared" si="12"/>
        <v/>
      </c>
      <c r="AP27" s="140" t="str">
        <f t="shared" si="13"/>
        <v/>
      </c>
    </row>
    <row r="28" spans="1:42" x14ac:dyDescent="0.25">
      <c r="A28" s="81" t="s">
        <v>45</v>
      </c>
      <c r="B28" s="45">
        <v>3000000</v>
      </c>
      <c r="C28" s="11"/>
      <c r="D28" s="11"/>
      <c r="F28" s="109"/>
      <c r="G28" s="110"/>
      <c r="H28" s="130"/>
      <c r="I28" s="205"/>
      <c r="J28" s="111"/>
      <c r="K28" s="112"/>
      <c r="L28" s="112"/>
      <c r="M28" s="112"/>
      <c r="N28" s="116"/>
      <c r="O28" s="116"/>
      <c r="P28" s="278"/>
      <c r="Q28" s="185"/>
      <c r="R28" s="372"/>
      <c r="S28" s="161" t="str">
        <f t="shared" si="15"/>
        <v/>
      </c>
      <c r="T28" s="32" t="str">
        <f>IF(U28="", "", MAX(T$3:$T27)+1)</f>
        <v/>
      </c>
      <c r="U28" s="139" t="str">
        <f>IF(AND(Direct="Broker", 'Metrics &amp; Drop Downs'!R28="No"), "", IF(Buy_to_Let=P28,IF(Island="Jersey", IF(M28="Yes", F28, ""), IF(Island="GHA",IF(L28="Yes", F28, ""), IF(K28="Yes", F28, ""))), ""))</f>
        <v/>
      </c>
      <c r="V28" s="127" t="str">
        <f>IF(U28="", "", G28)</f>
        <v/>
      </c>
      <c r="W28" s="29" t="str">
        <f t="shared" si="16"/>
        <v/>
      </c>
      <c r="X28" s="140" t="str">
        <f t="shared" si="17"/>
        <v/>
      </c>
      <c r="Y28" s="11" t="str">
        <f t="shared" si="0"/>
        <v/>
      </c>
      <c r="Z28" s="32" t="e">
        <f>IF(AA28="", "", MAX($Z$3:Z27)+1)</f>
        <v>#DIV/0!</v>
      </c>
      <c r="AA28" s="139" t="e">
        <f t="shared" si="19"/>
        <v>#DIV/0!</v>
      </c>
      <c r="AB28" s="127" t="e">
        <f t="shared" si="1"/>
        <v>#DIV/0!</v>
      </c>
      <c r="AC28" s="29" t="e">
        <f t="shared" si="2"/>
        <v>#DIV/0!</v>
      </c>
      <c r="AD28" s="140" t="e">
        <f t="shared" si="3"/>
        <v>#DIV/0!</v>
      </c>
      <c r="AE28" s="138" t="e">
        <f t="shared" si="4"/>
        <v>#DIV/0!</v>
      </c>
      <c r="AG28" s="139" t="str">
        <f t="shared" si="5"/>
        <v/>
      </c>
      <c r="AH28" s="144" t="str">
        <f t="shared" si="6"/>
        <v/>
      </c>
      <c r="AI28" s="18" t="str">
        <f t="shared" si="7"/>
        <v/>
      </c>
      <c r="AJ28" s="140" t="str">
        <f t="shared" si="8"/>
        <v/>
      </c>
      <c r="AK28" s="11"/>
      <c r="AL28" s="156" t="str">
        <f t="shared" si="9"/>
        <v/>
      </c>
      <c r="AM28" s="139" t="str">
        <f t="shared" si="10"/>
        <v/>
      </c>
      <c r="AN28" s="144" t="str">
        <f t="shared" si="11"/>
        <v/>
      </c>
      <c r="AO28" s="18" t="str">
        <f t="shared" si="12"/>
        <v/>
      </c>
      <c r="AP28" s="140" t="str">
        <f t="shared" si="13"/>
        <v/>
      </c>
    </row>
    <row r="29" spans="1:42" x14ac:dyDescent="0.25">
      <c r="F29" s="109"/>
      <c r="G29" s="110"/>
      <c r="H29" s="130"/>
      <c r="I29" s="205"/>
      <c r="J29" s="111"/>
      <c r="K29" s="112"/>
      <c r="L29" s="112"/>
      <c r="M29" s="112"/>
      <c r="N29" s="116"/>
      <c r="O29" s="116"/>
      <c r="P29" s="278"/>
      <c r="Q29" s="185"/>
      <c r="R29" s="372"/>
      <c r="S29" s="161" t="str">
        <f t="shared" si="15"/>
        <v/>
      </c>
      <c r="T29" s="32" t="str">
        <f>IF(U29="", "", MAX(T$3:$T28)+1)</f>
        <v/>
      </c>
      <c r="U29" s="139" t="str">
        <f>IF(AND(Direct="Broker", 'Metrics &amp; Drop Downs'!R29="No"), "", IF(Buy_to_Let=P29,IF(Island="Jersey", IF(M29="Yes", F29, ""), IF(Island="GHA",IF(L29="Yes", F29, ""), IF(K29="Yes", F29, ""))), ""))</f>
        <v/>
      </c>
      <c r="V29" s="127" t="str">
        <f>IF(U29="", "", G29)</f>
        <v/>
      </c>
      <c r="W29" s="29" t="str">
        <f t="shared" si="16"/>
        <v/>
      </c>
      <c r="X29" s="218" t="str">
        <f t="shared" si="17"/>
        <v/>
      </c>
      <c r="Y29" s="11" t="str">
        <f t="shared" si="0"/>
        <v/>
      </c>
      <c r="Z29" s="32" t="e">
        <f>IF(AA29="", "", MAX($Z$3:Z28)+1)</f>
        <v>#DIV/0!</v>
      </c>
      <c r="AA29" s="139" t="e">
        <f t="shared" si="19"/>
        <v>#DIV/0!</v>
      </c>
      <c r="AB29" s="127" t="e">
        <f t="shared" si="1"/>
        <v>#DIV/0!</v>
      </c>
      <c r="AC29" s="29" t="e">
        <f t="shared" si="2"/>
        <v>#DIV/0!</v>
      </c>
      <c r="AD29" s="140" t="e">
        <f t="shared" si="3"/>
        <v>#DIV/0!</v>
      </c>
      <c r="AE29" s="138" t="e">
        <f t="shared" si="4"/>
        <v>#DIV/0!</v>
      </c>
      <c r="AG29" s="139" t="str">
        <f t="shared" si="5"/>
        <v/>
      </c>
      <c r="AH29" s="144" t="str">
        <f t="shared" si="6"/>
        <v/>
      </c>
      <c r="AI29" s="18" t="str">
        <f t="shared" si="7"/>
        <v/>
      </c>
      <c r="AJ29" s="140" t="str">
        <f t="shared" si="8"/>
        <v/>
      </c>
      <c r="AK29" s="11"/>
      <c r="AL29" s="156" t="str">
        <f t="shared" si="9"/>
        <v/>
      </c>
      <c r="AM29" s="139" t="str">
        <f t="shared" si="10"/>
        <v/>
      </c>
      <c r="AN29" s="144" t="str">
        <f t="shared" si="11"/>
        <v/>
      </c>
      <c r="AO29" s="18" t="str">
        <f t="shared" si="12"/>
        <v/>
      </c>
      <c r="AP29" s="140" t="str">
        <f t="shared" si="13"/>
        <v/>
      </c>
    </row>
    <row r="30" spans="1:42" x14ac:dyDescent="0.25">
      <c r="A30" s="168" t="s">
        <v>240</v>
      </c>
      <c r="B30" s="7" t="str">
        <f>IF(Island="Jersey", B32, B31)</f>
        <v>Yes</v>
      </c>
      <c r="C30" s="190" t="s">
        <v>27</v>
      </c>
      <c r="F30" s="43"/>
      <c r="G30" s="117"/>
      <c r="H30" s="131"/>
      <c r="I30" s="206"/>
      <c r="J30" s="75"/>
      <c r="K30" s="118"/>
      <c r="L30" s="118"/>
      <c r="M30" s="118"/>
      <c r="N30" s="46"/>
      <c r="O30" s="46"/>
      <c r="P30" s="279"/>
      <c r="Q30" s="187"/>
      <c r="R30" s="372"/>
      <c r="S30" s="161" t="str">
        <f t="shared" si="15"/>
        <v/>
      </c>
      <c r="T30" s="32" t="str">
        <f>IF(U30="", "", MAX(T$3:$T29)+1)</f>
        <v/>
      </c>
      <c r="U30" s="13" t="str">
        <f>IF(AND(Direct="Broker", 'Metrics &amp; Drop Downs'!R30="No"), "", IF(Buy_to_Let=P30,IF(Island="Jersey", IF(M30="Yes", F30, ""), IF(Island="GHA",IF(L30="Yes", F30, ""), IF(K30="Yes", F30, ""))), ""))</f>
        <v/>
      </c>
      <c r="V30" s="145" t="str">
        <f t="shared" si="18"/>
        <v/>
      </c>
      <c r="W30" s="30" t="str">
        <f t="shared" si="16"/>
        <v/>
      </c>
      <c r="X30" s="15" t="str">
        <f t="shared" si="17"/>
        <v/>
      </c>
      <c r="Y30" s="11" t="str">
        <f t="shared" si="0"/>
        <v/>
      </c>
      <c r="Z30" s="32" t="e">
        <f>IF(AA30="", "", MAX($Z$3:Z29)+1)</f>
        <v>#DIV/0!</v>
      </c>
      <c r="AA30" s="13" t="e">
        <f t="shared" si="19"/>
        <v>#DIV/0!</v>
      </c>
      <c r="AB30" s="145" t="e">
        <f t="shared" si="1"/>
        <v>#DIV/0!</v>
      </c>
      <c r="AC30" s="30" t="e">
        <f t="shared" si="2"/>
        <v>#DIV/0!</v>
      </c>
      <c r="AD30" s="15" t="e">
        <f t="shared" si="3"/>
        <v>#DIV/0!</v>
      </c>
      <c r="AE30" s="138" t="e">
        <f t="shared" si="4"/>
        <v>#DIV/0!</v>
      </c>
      <c r="AG30" s="13" t="str">
        <f t="shared" si="5"/>
        <v/>
      </c>
      <c r="AH30" s="148" t="str">
        <f t="shared" si="6"/>
        <v/>
      </c>
      <c r="AI30" s="149" t="str">
        <f t="shared" si="7"/>
        <v/>
      </c>
      <c r="AJ30" s="15" t="str">
        <f t="shared" si="8"/>
        <v/>
      </c>
      <c r="AK30" s="11"/>
      <c r="AL30" s="156" t="str">
        <f t="shared" si="9"/>
        <v/>
      </c>
      <c r="AM30" s="13" t="str">
        <f t="shared" si="10"/>
        <v/>
      </c>
      <c r="AN30" s="148" t="str">
        <f t="shared" si="11"/>
        <v/>
      </c>
      <c r="AO30" s="149" t="str">
        <f t="shared" si="12"/>
        <v/>
      </c>
      <c r="AP30" s="15" t="str">
        <f t="shared" si="13"/>
        <v/>
      </c>
    </row>
    <row r="31" spans="1:42" x14ac:dyDescent="0.25">
      <c r="A31" s="169" t="s">
        <v>106</v>
      </c>
      <c r="B31" s="185" t="str">
        <f>K24</f>
        <v>Yes</v>
      </c>
      <c r="C31" s="191">
        <v>1</v>
      </c>
      <c r="F31" s="11"/>
      <c r="G31" s="11"/>
      <c r="H31" s="11"/>
      <c r="I31" s="207"/>
      <c r="J31" s="11"/>
      <c r="T31" s="11"/>
      <c r="U31" s="11"/>
      <c r="V31" s="127"/>
      <c r="W31" s="29"/>
      <c r="X31" s="11"/>
      <c r="Y31" s="11"/>
      <c r="Z31" s="32" t="e">
        <f>IF(AA31="", "", MAX($Z$3:Z30)+1)</f>
        <v>#DIV/0!</v>
      </c>
      <c r="AA31" s="155" t="e">
        <f>IF(AND(LTV&lt;=$J4, LTV&gt;=$I4),U4, "")</f>
        <v>#DIV/0!</v>
      </c>
      <c r="AB31" s="175" t="e">
        <f>IF($AA31="", "",V4)</f>
        <v>#DIV/0!</v>
      </c>
      <c r="AC31" s="176" t="e">
        <f>IF($AA31="", "",W4)</f>
        <v>#DIV/0!</v>
      </c>
      <c r="AD31" s="156" t="e">
        <f>IF($AA31="", "",X4)</f>
        <v>#DIV/0!</v>
      </c>
      <c r="AE31" s="11" t="e">
        <f>IF(AA31="","","|")</f>
        <v>#DIV/0!</v>
      </c>
      <c r="AF31" s="11"/>
      <c r="AG31" s="11"/>
      <c r="AH31" s="144"/>
      <c r="AI31" s="18"/>
      <c r="AJ31" s="11"/>
      <c r="AK31" s="11"/>
      <c r="AL31" s="11"/>
      <c r="AM31" s="11"/>
    </row>
    <row r="32" spans="1:42" x14ac:dyDescent="0.25">
      <c r="A32" s="170" t="s">
        <v>29</v>
      </c>
      <c r="B32" s="187" t="str">
        <f>M24</f>
        <v>Yes</v>
      </c>
      <c r="C32" s="115">
        <v>1</v>
      </c>
      <c r="F32" s="11" t="s">
        <v>105</v>
      </c>
      <c r="G32" s="11" t="str">
        <f>TRIM(CONCATENATE(AG4," ",AH4," ",AI4," ",AJ4," ",AK4, " ",AL4," ",AG5," ",AH5," ",AI5," ",AJ5," ",AK5," ",AL5," ",AG6," ",AH6," ",AI6," ",AJ6," ",AK6," ",AL6," ",AG7," ",AH7," ",AI7," ",AJ7," ",AK7," ",AL7," ",AG8," ",AH8," ",AI8," ",AJ8," ",AK8," ",AL8," ",AG9," ",AH9," ",AI9," ",AJ9," ",AK9," ",AL9," "))</f>
        <v/>
      </c>
      <c r="H32" s="11"/>
      <c r="I32" s="207"/>
      <c r="J32" s="11"/>
      <c r="T32" s="11"/>
      <c r="U32" s="11"/>
      <c r="V32" s="127"/>
      <c r="W32" s="29"/>
      <c r="X32" s="11"/>
      <c r="Y32" s="11"/>
      <c r="Z32" s="32"/>
      <c r="AA32" s="11"/>
      <c r="AB32" s="127"/>
      <c r="AC32" s="29"/>
      <c r="AD32" s="11"/>
      <c r="AE32" s="11"/>
      <c r="AF32" s="11"/>
      <c r="AG32" s="11"/>
      <c r="AH32" s="144"/>
      <c r="AI32" s="18"/>
      <c r="AJ32" s="11"/>
      <c r="AK32" s="11"/>
      <c r="AL32" s="11"/>
      <c r="AM32" s="11"/>
    </row>
    <row r="33" spans="1:41" x14ac:dyDescent="0.25">
      <c r="F33" s="11"/>
      <c r="G33" s="11"/>
      <c r="H33" s="11"/>
      <c r="I33" s="207"/>
      <c r="J33" s="11"/>
      <c r="T33" s="11"/>
      <c r="U33" s="11"/>
      <c r="V33" s="127"/>
      <c r="W33" s="29"/>
      <c r="X33" s="11"/>
      <c r="Y33" s="11"/>
      <c r="Z33" s="32"/>
      <c r="AA33" s="11"/>
      <c r="AB33" s="127"/>
      <c r="AC33" s="29"/>
      <c r="AD33" s="11"/>
      <c r="AE33" s="11"/>
      <c r="AF33" s="11"/>
      <c r="AG33" s="11"/>
      <c r="AH33" s="144"/>
      <c r="AI33" s="18"/>
      <c r="AJ33" s="11"/>
      <c r="AK33" s="11"/>
      <c r="AL33" s="11"/>
      <c r="AM33" s="11"/>
    </row>
    <row r="34" spans="1:41" s="155" customFormat="1" x14ac:dyDescent="0.25">
      <c r="A34" s="168"/>
      <c r="B34" s="186"/>
      <c r="C34" s="281" t="s">
        <v>254</v>
      </c>
      <c r="D34" s="214" t="s">
        <v>253</v>
      </c>
      <c r="E34" s="281" t="s">
        <v>289</v>
      </c>
      <c r="F34" s="281" t="s">
        <v>290</v>
      </c>
      <c r="G34" s="373" t="s">
        <v>155</v>
      </c>
      <c r="H34" s="280" t="s">
        <v>323</v>
      </c>
      <c r="J34" s="6" t="s">
        <v>255</v>
      </c>
      <c r="K34" s="214"/>
      <c r="L34" s="215"/>
      <c r="P34" s="178"/>
      <c r="S34" s="161"/>
      <c r="T34" s="11"/>
      <c r="U34" s="11"/>
      <c r="V34" s="135"/>
      <c r="W34" s="29"/>
      <c r="X34" s="11"/>
      <c r="Y34" s="11"/>
      <c r="Z34" s="32"/>
      <c r="AA34" s="11"/>
      <c r="AB34" s="135"/>
      <c r="AC34" s="29"/>
      <c r="AD34" s="11"/>
      <c r="AE34" s="11"/>
      <c r="AF34" s="11"/>
      <c r="AG34" s="11"/>
      <c r="AH34" s="144"/>
      <c r="AI34" s="18"/>
      <c r="AJ34" s="11"/>
      <c r="AK34" s="11"/>
      <c r="AL34" s="11"/>
      <c r="AM34" s="11"/>
      <c r="AN34" s="141"/>
      <c r="AO34" s="142"/>
    </row>
    <row r="35" spans="1:41" s="155" customFormat="1" x14ac:dyDescent="0.25">
      <c r="A35" s="169" t="s">
        <v>106</v>
      </c>
      <c r="B35" s="239">
        <f>IF(Interest_Only="Yes", 'Metrics &amp; Drop Downs'!H35,IF(Buy_to_Let="Yes", G35,  IF(Remortgage_Purchase="Purchase", F35,E35)))</f>
        <v>40</v>
      </c>
      <c r="C35" s="188">
        <v>6.4899999999999999E-2</v>
      </c>
      <c r="D35" s="188">
        <f>MIN(Q4:Q30)</f>
        <v>6.2899999999999998E-2</v>
      </c>
      <c r="E35" s="185">
        <v>40</v>
      </c>
      <c r="F35" s="185">
        <v>40</v>
      </c>
      <c r="G35" s="185">
        <v>35</v>
      </c>
      <c r="H35" s="231">
        <v>25</v>
      </c>
      <c r="J35" s="216" t="s">
        <v>256</v>
      </c>
      <c r="K35" s="217"/>
      <c r="L35" s="44">
        <v>500000</v>
      </c>
      <c r="P35" s="178"/>
      <c r="S35" s="161"/>
      <c r="T35" s="11"/>
      <c r="U35" s="11"/>
      <c r="V35" s="135"/>
      <c r="W35" s="29"/>
      <c r="X35" s="11"/>
      <c r="Y35" s="11"/>
      <c r="Z35" s="32"/>
      <c r="AA35" s="11"/>
      <c r="AB35" s="135"/>
      <c r="AC35" s="29"/>
      <c r="AD35" s="11"/>
      <c r="AE35" s="11"/>
      <c r="AF35" s="11"/>
      <c r="AG35" s="11"/>
      <c r="AH35" s="144"/>
      <c r="AI35" s="18"/>
      <c r="AJ35" s="11"/>
      <c r="AK35" s="11"/>
      <c r="AL35" s="11"/>
      <c r="AM35" s="11"/>
      <c r="AN35" s="141"/>
      <c r="AO35" s="142"/>
    </row>
    <row r="36" spans="1:41" s="155" customFormat="1" x14ac:dyDescent="0.25">
      <c r="A36" s="169" t="s">
        <v>174</v>
      </c>
      <c r="B36" s="239">
        <f>IF(Interest_Only="Yes", 'Metrics &amp; Drop Downs'!H36,IF(Buy_to_Let="Yes", G36,  IF(Remortgage_Purchase="Purchase", F36,E36)))</f>
        <v>40</v>
      </c>
      <c r="C36" s="188">
        <v>6.4899999999999999E-2</v>
      </c>
      <c r="D36" s="188"/>
      <c r="E36" s="185">
        <v>40</v>
      </c>
      <c r="F36" s="185">
        <v>40</v>
      </c>
      <c r="G36" s="185">
        <v>35</v>
      </c>
      <c r="H36" s="231">
        <v>0</v>
      </c>
      <c r="J36" s="202" t="s">
        <v>257</v>
      </c>
      <c r="K36" s="217"/>
      <c r="L36" s="44">
        <v>3000000</v>
      </c>
      <c r="P36" s="178"/>
      <c r="S36" s="161"/>
      <c r="T36" s="11"/>
      <c r="U36" s="11"/>
      <c r="V36" s="135"/>
      <c r="W36" s="29"/>
      <c r="X36" s="11"/>
      <c r="Y36" s="11"/>
      <c r="Z36" s="32"/>
      <c r="AA36" s="11"/>
      <c r="AB36" s="135"/>
      <c r="AC36" s="29"/>
      <c r="AD36" s="11"/>
      <c r="AE36" s="11"/>
      <c r="AF36" s="11"/>
      <c r="AG36" s="11"/>
      <c r="AH36" s="144"/>
      <c r="AI36" s="18"/>
      <c r="AJ36" s="11"/>
      <c r="AK36" s="11"/>
      <c r="AL36" s="11"/>
      <c r="AM36" s="11"/>
      <c r="AN36" s="141"/>
      <c r="AO36" s="142"/>
    </row>
    <row r="37" spans="1:41" s="155" customFormat="1" x14ac:dyDescent="0.25">
      <c r="A37" s="170" t="s">
        <v>29</v>
      </c>
      <c r="B37" s="233">
        <f>IF(Interest_Only="Yes", 'Metrics &amp; Drop Downs'!H37,IF(Buy_to_Let="Yes", G37,  IF(Remortgage_Purchase="Purchase", F37,E37)))</f>
        <v>40</v>
      </c>
      <c r="C37" s="189">
        <v>6.4899999999999999E-2</v>
      </c>
      <c r="D37" s="189">
        <f>D35</f>
        <v>6.2899999999999998E-2</v>
      </c>
      <c r="E37" s="187">
        <v>40</v>
      </c>
      <c r="F37" s="187">
        <v>40</v>
      </c>
      <c r="G37" s="187">
        <v>35</v>
      </c>
      <c r="H37" s="232">
        <v>25</v>
      </c>
      <c r="I37" s="207"/>
      <c r="J37" s="81" t="s">
        <v>323</v>
      </c>
      <c r="K37" s="220"/>
      <c r="L37" s="115">
        <v>0.65</v>
      </c>
      <c r="P37" s="178"/>
      <c r="S37" s="161"/>
      <c r="T37" s="11"/>
      <c r="U37" s="11"/>
      <c r="V37" s="135"/>
      <c r="W37" s="29"/>
      <c r="X37" s="11"/>
      <c r="Y37" s="11"/>
      <c r="Z37" s="32"/>
      <c r="AA37" s="11"/>
      <c r="AB37" s="135"/>
      <c r="AC37" s="29"/>
      <c r="AD37" s="11"/>
      <c r="AE37" s="11"/>
      <c r="AF37" s="11"/>
      <c r="AG37" s="11"/>
      <c r="AH37" s="144"/>
      <c r="AI37" s="18"/>
      <c r="AJ37" s="11"/>
      <c r="AK37" s="11"/>
      <c r="AL37" s="11"/>
      <c r="AM37" s="11"/>
      <c r="AN37" s="141"/>
      <c r="AO37" s="142"/>
    </row>
    <row r="38" spans="1:41" x14ac:dyDescent="0.25">
      <c r="F38" s="11"/>
      <c r="G38" s="11"/>
      <c r="H38" s="11"/>
      <c r="I38" s="207"/>
      <c r="J38" s="11"/>
    </row>
    <row r="39" spans="1:41" x14ac:dyDescent="0.25">
      <c r="B39" t="s">
        <v>155</v>
      </c>
      <c r="C39" t="s">
        <v>160</v>
      </c>
      <c r="F39" s="11"/>
      <c r="G39" s="11"/>
      <c r="H39" s="11"/>
      <c r="I39" s="207"/>
      <c r="J39" s="11"/>
    </row>
    <row r="40" spans="1:41" x14ac:dyDescent="0.25">
      <c r="A40" s="6" t="s">
        <v>125</v>
      </c>
      <c r="B40" s="102">
        <v>85</v>
      </c>
      <c r="C40" s="102">
        <v>75</v>
      </c>
      <c r="D40" s="100">
        <f>IF(Buy_to_Let="Yes", B40, C40)</f>
        <v>75</v>
      </c>
      <c r="F40" s="6" t="s">
        <v>15</v>
      </c>
      <c r="G40" s="7"/>
      <c r="H40" s="26" t="s">
        <v>100</v>
      </c>
      <c r="I40" s="208" t="s">
        <v>101</v>
      </c>
    </row>
    <row r="41" spans="1:41" x14ac:dyDescent="0.25">
      <c r="A41" s="9" t="s">
        <v>124</v>
      </c>
      <c r="B41" s="74">
        <v>85</v>
      </c>
      <c r="C41" s="167" t="e">
        <f ca="1">IF(Island="Jersey", IF(Calculations!B11="Sole", VLOOKUP(DoB_App_1, A109:H114, 8), VLOOKUP(MIN(DoB_App_1, DoB_App_2), A109:H114, 8)), IF(Calculations!B11="Sole",VLOOKUP(DoB_App_1, A109:H114, 7),VLOOKUP(MIN(DoB_App_1, DoB_App_2), A109:H114, 7)))</f>
        <v>#N/A</v>
      </c>
      <c r="D41" s="101" t="e">
        <f ca="1">IF(Buy_to_Let="Yes", B41, C41)</f>
        <v>#N/A</v>
      </c>
      <c r="E41" t="e">
        <f ca="1">IF(Island="Jersey", IF(Calculations!B11="Sole", VLOOKUP(DoB_App_1, A109:H114, 4), VLOOKUP(MIN(DoB_App_1, DoB_App_2), A109:H114, 4)), IF(Calculations!B11="Sole",VLOOKUP(DoB_App_1, A109:H114, 3),VLOOKUP(MIN(DoB_App_1, DoB_App_2), A109:H114, 3)))</f>
        <v>#N/A</v>
      </c>
      <c r="F41" s="9" t="s">
        <v>11</v>
      </c>
      <c r="G41" s="125">
        <f>IF(Island="Jersey", I41, H41)</f>
        <v>1</v>
      </c>
      <c r="H41" s="111">
        <v>1</v>
      </c>
      <c r="I41" s="263">
        <v>1</v>
      </c>
    </row>
    <row r="42" spans="1:41" x14ac:dyDescent="0.25">
      <c r="A42" s="9" t="s">
        <v>129</v>
      </c>
      <c r="B42" s="74">
        <v>85</v>
      </c>
      <c r="C42" s="167" t="e">
        <f ca="1">IF(Island="Jersey",IF(Calculations!B11="Sole",VLOOKUP(DoB_App_1,A109:H114,8),VLOOKUP(MIN(DoB_App_1,DoB_App_2),A109:H114,8)),IF(Calculations!B11="Sole",VLOOKUP(DoB_App_1,A109:H114,7),VLOOKUP(MIN(DoB_App_1,DoB_App_2),A109:H114,7)))</f>
        <v>#N/A</v>
      </c>
      <c r="D42" s="101" t="e">
        <f ca="1">IF(Buy_to_Let="Yes", B42, C42)</f>
        <v>#N/A</v>
      </c>
      <c r="F42" s="9" t="s">
        <v>12</v>
      </c>
      <c r="G42" s="125">
        <v>0.5</v>
      </c>
      <c r="H42" s="111">
        <v>0.5</v>
      </c>
      <c r="I42" s="263">
        <v>0.5</v>
      </c>
    </row>
    <row r="43" spans="1:41" x14ac:dyDescent="0.25">
      <c r="A43" s="9" t="s">
        <v>130</v>
      </c>
      <c r="B43" s="74">
        <v>85</v>
      </c>
      <c r="C43" s="74">
        <v>75</v>
      </c>
      <c r="D43" s="101">
        <f>IF(Buy_to_Let="Yes", B43, C43)</f>
        <v>75</v>
      </c>
      <c r="F43" s="9" t="s">
        <v>13</v>
      </c>
      <c r="G43" s="125">
        <v>0.5</v>
      </c>
      <c r="H43" s="111">
        <v>0.5</v>
      </c>
      <c r="I43" s="263">
        <v>0.5</v>
      </c>
    </row>
    <row r="44" spans="1:41" s="155" customFormat="1" x14ac:dyDescent="0.25">
      <c r="A44" s="216" t="s">
        <v>297</v>
      </c>
      <c r="B44" s="143"/>
      <c r="C44" s="260"/>
      <c r="D44" s="261">
        <v>18</v>
      </c>
      <c r="F44" s="216"/>
      <c r="G44" s="125"/>
      <c r="H44" s="111"/>
      <c r="I44" s="263"/>
      <c r="P44" s="259"/>
      <c r="S44" s="161"/>
      <c r="Z44" s="136"/>
      <c r="AH44" s="141"/>
      <c r="AI44" s="142"/>
      <c r="AN44" s="141"/>
      <c r="AO44" s="142"/>
    </row>
    <row r="45" spans="1:41" x14ac:dyDescent="0.25">
      <c r="A45" s="9" t="s">
        <v>108</v>
      </c>
      <c r="B45" s="78">
        <v>0.03</v>
      </c>
      <c r="F45" s="9" t="s">
        <v>78</v>
      </c>
      <c r="G45" s="125">
        <f>IF(Island="Jersey", I45, H45)</f>
        <v>1</v>
      </c>
      <c r="H45" s="111">
        <v>1</v>
      </c>
      <c r="I45" s="263">
        <v>1</v>
      </c>
    </row>
    <row r="46" spans="1:41" x14ac:dyDescent="0.25">
      <c r="A46" s="9" t="s">
        <v>109</v>
      </c>
      <c r="B46" s="44">
        <f>228.37*52</f>
        <v>11875.24</v>
      </c>
      <c r="C46" s="155" t="s">
        <v>305</v>
      </c>
      <c r="F46" s="13" t="s">
        <v>79</v>
      </c>
      <c r="G46" s="126">
        <f>IF(Island="Jersey", I46, H46)</f>
        <v>0.5</v>
      </c>
      <c r="H46" s="75">
        <v>0.5</v>
      </c>
      <c r="I46" s="264">
        <v>0.5</v>
      </c>
    </row>
    <row r="47" spans="1:41" x14ac:dyDescent="0.25">
      <c r="A47" s="13" t="s">
        <v>110</v>
      </c>
      <c r="B47" s="45">
        <f>225.96*52</f>
        <v>11749.92</v>
      </c>
      <c r="C47" s="155" t="s">
        <v>305</v>
      </c>
      <c r="F47" s="11"/>
      <c r="G47" s="11"/>
      <c r="H47" s="11"/>
      <c r="I47" s="207"/>
      <c r="J47" s="11"/>
    </row>
    <row r="48" spans="1:41" x14ac:dyDescent="0.25">
      <c r="F48" s="11"/>
      <c r="G48" s="11"/>
      <c r="H48" s="11"/>
      <c r="I48" s="207"/>
      <c r="J48" s="11"/>
    </row>
    <row r="49" spans="1:41" s="155" customFormat="1" x14ac:dyDescent="0.25">
      <c r="A49" s="155" t="s">
        <v>38</v>
      </c>
      <c r="B49" s="155">
        <v>70</v>
      </c>
      <c r="F49" s="294" t="s">
        <v>304</v>
      </c>
      <c r="G49" s="295">
        <f>G4</f>
        <v>5.3400000000000003E-2</v>
      </c>
      <c r="H49" s="217"/>
      <c r="I49" s="207"/>
      <c r="J49" s="217"/>
      <c r="P49" s="282"/>
      <c r="S49" s="161"/>
      <c r="Z49" s="136"/>
      <c r="AH49" s="141"/>
      <c r="AI49" s="142"/>
      <c r="AN49" s="141"/>
      <c r="AO49" s="142"/>
    </row>
    <row r="50" spans="1:41" x14ac:dyDescent="0.25">
      <c r="A50" t="s">
        <v>38</v>
      </c>
      <c r="B50">
        <v>85</v>
      </c>
      <c r="K50" s="4"/>
      <c r="L50" s="4"/>
    </row>
    <row r="51" spans="1:41" x14ac:dyDescent="0.25">
      <c r="A51" t="s">
        <v>38</v>
      </c>
      <c r="B51" s="155">
        <v>90</v>
      </c>
      <c r="C51" t="s">
        <v>147</v>
      </c>
    </row>
    <row r="52" spans="1:41" x14ac:dyDescent="0.25">
      <c r="A52" s="6" t="s">
        <v>30</v>
      </c>
      <c r="B52" s="214"/>
      <c r="C52" s="214"/>
      <c r="D52" s="214"/>
      <c r="E52" s="214"/>
      <c r="F52" s="214"/>
      <c r="G52" s="214"/>
      <c r="H52" s="214"/>
      <c r="I52" s="204"/>
      <c r="J52" s="214"/>
    </row>
    <row r="53" spans="1:41" x14ac:dyDescent="0.25">
      <c r="A53" s="216" t="s">
        <v>16</v>
      </c>
      <c r="B53" s="108">
        <v>0</v>
      </c>
      <c r="C53" s="108">
        <v>36000</v>
      </c>
      <c r="D53" s="108">
        <v>45000</v>
      </c>
      <c r="E53" s="108">
        <v>52000</v>
      </c>
      <c r="F53" s="287">
        <v>78000</v>
      </c>
      <c r="G53" s="287">
        <v>104000</v>
      </c>
      <c r="H53" s="108"/>
      <c r="I53" s="205"/>
      <c r="J53" s="108"/>
    </row>
    <row r="54" spans="1:41" s="155" customFormat="1" x14ac:dyDescent="0.25">
      <c r="A54" s="216" t="str">
        <f>"Percentage &lt;"&amp;$B$49&amp;"% LTV"</f>
        <v>Percentage &lt;70% LTV</v>
      </c>
      <c r="B54" s="111">
        <f>B55</f>
        <v>0</v>
      </c>
      <c r="C54" s="111">
        <f>C55</f>
        <v>0.41</v>
      </c>
      <c r="D54" s="111">
        <f>D55</f>
        <v>0.44</v>
      </c>
      <c r="E54" s="111">
        <f>E55</f>
        <v>0.48</v>
      </c>
      <c r="F54" s="290">
        <v>0.5</v>
      </c>
      <c r="G54" s="290">
        <v>0.52</v>
      </c>
      <c r="H54" s="108"/>
      <c r="I54" s="205"/>
      <c r="J54" s="108"/>
      <c r="P54" s="282"/>
      <c r="S54" s="161"/>
      <c r="Z54" s="136"/>
      <c r="AH54" s="141"/>
      <c r="AI54" s="142"/>
      <c r="AN54" s="141"/>
      <c r="AO54" s="142"/>
    </row>
    <row r="55" spans="1:41" x14ac:dyDescent="0.25">
      <c r="A55" s="216" t="str">
        <f>"Percentage &lt;"&amp;$B$50&amp;"% LTV"</f>
        <v>Percentage &lt;85% LTV</v>
      </c>
      <c r="B55" s="111">
        <v>0</v>
      </c>
      <c r="C55" s="111">
        <v>0.41</v>
      </c>
      <c r="D55" s="111">
        <v>0.44</v>
      </c>
      <c r="E55" s="111">
        <v>0.48</v>
      </c>
      <c r="F55" s="111">
        <f t="shared" ref="F55:G57" si="24">E55</f>
        <v>0.48</v>
      </c>
      <c r="G55" s="111">
        <f t="shared" si="24"/>
        <v>0.48</v>
      </c>
      <c r="H55" s="111"/>
      <c r="I55" s="205"/>
      <c r="J55" s="111"/>
    </row>
    <row r="56" spans="1:41" x14ac:dyDescent="0.25">
      <c r="A56" s="216" t="str">
        <f>"Percentage &gt;"&amp;$B$50&amp;"% LTV"</f>
        <v>Percentage &gt;85% LTV</v>
      </c>
      <c r="B56" s="111">
        <v>0</v>
      </c>
      <c r="C56" s="111">
        <v>0.34</v>
      </c>
      <c r="D56" s="111">
        <v>0.37</v>
      </c>
      <c r="E56" s="111">
        <v>0.41</v>
      </c>
      <c r="F56" s="111">
        <f t="shared" si="24"/>
        <v>0.41</v>
      </c>
      <c r="G56" s="111">
        <f t="shared" si="24"/>
        <v>0.41</v>
      </c>
      <c r="H56" s="111"/>
      <c r="I56" s="205"/>
      <c r="J56" s="111"/>
    </row>
    <row r="57" spans="1:41" x14ac:dyDescent="0.25">
      <c r="A57" s="219" t="str">
        <f>"Percentage &gt;"&amp;$B$51&amp;"% LTV (i.e. "&amp;$C$51&amp;")"</f>
        <v>Percentage &gt;90% LTV (i.e. NGM)</v>
      </c>
      <c r="B57" s="75">
        <v>0</v>
      </c>
      <c r="C57" s="75">
        <v>0.38</v>
      </c>
      <c r="D57" s="75">
        <v>0.41</v>
      </c>
      <c r="E57" s="75">
        <v>0.45</v>
      </c>
      <c r="F57" s="75">
        <f t="shared" si="24"/>
        <v>0.45</v>
      </c>
      <c r="G57" s="75">
        <f t="shared" si="24"/>
        <v>0.45</v>
      </c>
      <c r="H57" s="75"/>
      <c r="I57" s="206"/>
      <c r="J57" s="75"/>
    </row>
    <row r="58" spans="1:41" x14ac:dyDescent="0.25">
      <c r="A58" s="11"/>
      <c r="B58" s="11"/>
      <c r="C58" s="19"/>
      <c r="D58" s="19"/>
      <c r="E58" s="19"/>
      <c r="F58" s="11"/>
      <c r="G58" s="11"/>
      <c r="H58" s="11"/>
      <c r="I58" s="207"/>
      <c r="J58" s="11"/>
    </row>
    <row r="59" spans="1:41" x14ac:dyDescent="0.25">
      <c r="A59" s="6" t="s">
        <v>28</v>
      </c>
      <c r="B59" s="214"/>
      <c r="C59" s="214"/>
      <c r="D59" s="214"/>
      <c r="E59" s="214"/>
      <c r="F59" s="214"/>
      <c r="G59" s="214"/>
      <c r="H59" s="214"/>
      <c r="I59" s="204"/>
      <c r="J59" s="214"/>
    </row>
    <row r="60" spans="1:41" x14ac:dyDescent="0.25">
      <c r="A60" s="216" t="s">
        <v>16</v>
      </c>
      <c r="B60" s="108">
        <v>0</v>
      </c>
      <c r="C60" s="108">
        <v>52000</v>
      </c>
      <c r="D60" s="108">
        <v>59000</v>
      </c>
      <c r="E60" s="108">
        <v>65000</v>
      </c>
      <c r="F60" s="108">
        <v>72000</v>
      </c>
      <c r="G60" s="108">
        <v>78000</v>
      </c>
      <c r="H60" s="287">
        <v>117000</v>
      </c>
      <c r="I60" s="287">
        <v>156000</v>
      </c>
      <c r="J60" s="108"/>
    </row>
    <row r="61" spans="1:41" s="155" customFormat="1" x14ac:dyDescent="0.25">
      <c r="A61" s="216" t="str">
        <f>"Percentage &lt;"&amp;$B$49&amp;"% LTV"</f>
        <v>Percentage &lt;70% LTV</v>
      </c>
      <c r="B61" s="111">
        <f t="shared" ref="B61:G61" si="25">B62</f>
        <v>0</v>
      </c>
      <c r="C61" s="111">
        <f t="shared" si="25"/>
        <v>0.41</v>
      </c>
      <c r="D61" s="111">
        <f t="shared" si="25"/>
        <v>0.43</v>
      </c>
      <c r="E61" s="111">
        <f t="shared" si="25"/>
        <v>0.45</v>
      </c>
      <c r="F61" s="111">
        <f t="shared" si="25"/>
        <v>0.46</v>
      </c>
      <c r="G61" s="111">
        <f t="shared" si="25"/>
        <v>0.48</v>
      </c>
      <c r="H61" s="288">
        <v>0.5</v>
      </c>
      <c r="I61" s="288">
        <v>0.52</v>
      </c>
      <c r="J61" s="108"/>
      <c r="P61" s="282"/>
      <c r="S61" s="161"/>
      <c r="Z61" s="136"/>
      <c r="AH61" s="141"/>
      <c r="AI61" s="142"/>
      <c r="AN61" s="141"/>
      <c r="AO61" s="142"/>
    </row>
    <row r="62" spans="1:41" x14ac:dyDescent="0.25">
      <c r="A62" s="216" t="str">
        <f>"Percentage &lt;"&amp;$B$50&amp;"% LTV"</f>
        <v>Percentage &lt;85% LTV</v>
      </c>
      <c r="B62" s="111">
        <v>0</v>
      </c>
      <c r="C62" s="111">
        <v>0.41</v>
      </c>
      <c r="D62" s="111">
        <v>0.43</v>
      </c>
      <c r="E62" s="111">
        <v>0.45</v>
      </c>
      <c r="F62" s="111">
        <v>0.46</v>
      </c>
      <c r="G62" s="111">
        <v>0.48</v>
      </c>
      <c r="H62" s="111">
        <f t="shared" ref="H62:I64" si="26">G62</f>
        <v>0.48</v>
      </c>
      <c r="I62" s="111">
        <f t="shared" si="26"/>
        <v>0.48</v>
      </c>
      <c r="J62" s="111"/>
    </row>
    <row r="63" spans="1:41" x14ac:dyDescent="0.25">
      <c r="A63" s="216" t="str">
        <f>"Percentage &gt;"&amp;$B$50&amp;"% LTV"</f>
        <v>Percentage &gt;85% LTV</v>
      </c>
      <c r="B63" s="111">
        <v>0</v>
      </c>
      <c r="C63" s="111">
        <v>0.34</v>
      </c>
      <c r="D63" s="111">
        <v>0.36</v>
      </c>
      <c r="E63" s="111">
        <v>0.38</v>
      </c>
      <c r="F63" s="111">
        <v>0.39</v>
      </c>
      <c r="G63" s="111">
        <v>0.41</v>
      </c>
      <c r="H63" s="111">
        <f t="shared" si="26"/>
        <v>0.41</v>
      </c>
      <c r="I63" s="111">
        <f t="shared" si="26"/>
        <v>0.41</v>
      </c>
      <c r="J63" s="111"/>
    </row>
    <row r="64" spans="1:41" x14ac:dyDescent="0.25">
      <c r="A64" s="219" t="str">
        <f>"Percentage &gt;"&amp;$B$51&amp;"% LTV (i.e. "&amp;$C$51&amp;")"</f>
        <v>Percentage &gt;90% LTV (i.e. NGM)</v>
      </c>
      <c r="B64" s="75">
        <v>0</v>
      </c>
      <c r="C64" s="75">
        <v>0.38</v>
      </c>
      <c r="D64" s="75">
        <v>0.4</v>
      </c>
      <c r="E64" s="75">
        <v>0.42</v>
      </c>
      <c r="F64" s="75">
        <v>0.43</v>
      </c>
      <c r="G64" s="75">
        <v>0.45</v>
      </c>
      <c r="H64" s="75">
        <f t="shared" si="26"/>
        <v>0.45</v>
      </c>
      <c r="I64" s="75">
        <f t="shared" si="26"/>
        <v>0.45</v>
      </c>
      <c r="J64" s="75"/>
      <c r="K64" s="4"/>
      <c r="L64" s="4"/>
    </row>
    <row r="65" spans="1:41" x14ac:dyDescent="0.25">
      <c r="A65" s="11"/>
      <c r="B65" s="11"/>
      <c r="C65" s="11"/>
      <c r="D65" s="11"/>
      <c r="E65" s="11"/>
      <c r="F65" s="11"/>
      <c r="G65" s="11"/>
      <c r="H65" s="11"/>
      <c r="I65" s="207"/>
      <c r="J65" s="11"/>
    </row>
    <row r="66" spans="1:41" x14ac:dyDescent="0.25">
      <c r="A66" s="6" t="s">
        <v>31</v>
      </c>
      <c r="B66" s="214"/>
      <c r="C66" s="214"/>
      <c r="D66" s="214"/>
      <c r="E66" s="214"/>
      <c r="F66" s="214"/>
      <c r="G66" s="214"/>
      <c r="H66" s="214"/>
      <c r="I66" s="204"/>
      <c r="J66" s="214"/>
    </row>
    <row r="67" spans="1:41" x14ac:dyDescent="0.25">
      <c r="A67" s="216" t="s">
        <v>16</v>
      </c>
      <c r="B67" s="108">
        <f>B53</f>
        <v>0</v>
      </c>
      <c r="C67" s="108">
        <f>C53</f>
        <v>36000</v>
      </c>
      <c r="D67" s="108">
        <f>D53</f>
        <v>45000</v>
      </c>
      <c r="E67" s="108">
        <v>52000</v>
      </c>
      <c r="F67" s="108">
        <f t="shared" ref="F67:G71" si="27">F53</f>
        <v>78000</v>
      </c>
      <c r="G67" s="108">
        <f t="shared" si="27"/>
        <v>104000</v>
      </c>
      <c r="H67" s="108"/>
      <c r="I67" s="205"/>
      <c r="J67" s="108"/>
    </row>
    <row r="68" spans="1:41" s="155" customFormat="1" x14ac:dyDescent="0.25">
      <c r="A68" s="216" t="str">
        <f>"Percentage &lt;"&amp;$B$49&amp;"% LTV"</f>
        <v>Percentage &lt;70% LTV</v>
      </c>
      <c r="B68" s="111">
        <f>B69</f>
        <v>0</v>
      </c>
      <c r="C68" s="111">
        <f>C69</f>
        <v>0.41</v>
      </c>
      <c r="D68" s="111">
        <f>D69</f>
        <v>0.44</v>
      </c>
      <c r="E68" s="111">
        <f>E69</f>
        <v>0.48</v>
      </c>
      <c r="F68" s="111">
        <f t="shared" si="27"/>
        <v>0.5</v>
      </c>
      <c r="G68" s="111">
        <f t="shared" si="27"/>
        <v>0.52</v>
      </c>
      <c r="H68" s="108"/>
      <c r="I68" s="205"/>
      <c r="J68" s="108"/>
      <c r="P68" s="282"/>
      <c r="S68" s="161"/>
      <c r="Z68" s="136"/>
      <c r="AH68" s="141"/>
      <c r="AI68" s="142"/>
      <c r="AN68" s="141"/>
      <c r="AO68" s="142"/>
    </row>
    <row r="69" spans="1:41" x14ac:dyDescent="0.25">
      <c r="A69" s="216" t="str">
        <f>"Percentage &lt;"&amp;$B$50&amp;"% LTV"</f>
        <v>Percentage &lt;85% LTV</v>
      </c>
      <c r="B69" s="111">
        <f>B55</f>
        <v>0</v>
      </c>
      <c r="C69" s="111">
        <v>0.41</v>
      </c>
      <c r="D69" s="111">
        <v>0.44</v>
      </c>
      <c r="E69" s="111">
        <v>0.48</v>
      </c>
      <c r="F69" s="111">
        <f t="shared" si="27"/>
        <v>0.48</v>
      </c>
      <c r="G69" s="111">
        <f t="shared" si="27"/>
        <v>0.48</v>
      </c>
      <c r="H69" s="111"/>
      <c r="I69" s="205"/>
      <c r="J69" s="111"/>
    </row>
    <row r="70" spans="1:41" x14ac:dyDescent="0.25">
      <c r="A70" s="216" t="str">
        <f>"Percentage &gt;"&amp;$B$50&amp;"% LTV"</f>
        <v>Percentage &gt;85% LTV</v>
      </c>
      <c r="B70" s="111">
        <f>B56</f>
        <v>0</v>
      </c>
      <c r="C70" s="111">
        <v>0.34</v>
      </c>
      <c r="D70" s="111">
        <v>0.37</v>
      </c>
      <c r="E70" s="111">
        <v>0.41</v>
      </c>
      <c r="F70" s="111">
        <f t="shared" si="27"/>
        <v>0.41</v>
      </c>
      <c r="G70" s="111">
        <f t="shared" si="27"/>
        <v>0.41</v>
      </c>
      <c r="H70" s="111"/>
      <c r="I70" s="205"/>
      <c r="J70" s="111"/>
    </row>
    <row r="71" spans="1:41" x14ac:dyDescent="0.25">
      <c r="A71" s="219" t="str">
        <f>"Percentage &gt;"&amp;$B$51&amp;"% LTV (i.e. "&amp;$C$51&amp;")"</f>
        <v>Percentage &gt;90% LTV (i.e. NGM)</v>
      </c>
      <c r="B71" s="75">
        <f>B57</f>
        <v>0</v>
      </c>
      <c r="C71" s="75">
        <v>0.38</v>
      </c>
      <c r="D71" s="75">
        <v>0.41</v>
      </c>
      <c r="E71" s="75">
        <v>0.45</v>
      </c>
      <c r="F71" s="75">
        <f t="shared" si="27"/>
        <v>0.45</v>
      </c>
      <c r="G71" s="75">
        <f t="shared" si="27"/>
        <v>0.45</v>
      </c>
      <c r="H71" s="75"/>
      <c r="I71" s="206"/>
      <c r="J71" s="75"/>
    </row>
    <row r="72" spans="1:41" x14ac:dyDescent="0.25">
      <c r="A72" s="11"/>
      <c r="B72" s="11"/>
      <c r="C72" s="11"/>
      <c r="D72" s="11"/>
      <c r="E72" s="11"/>
      <c r="F72" s="11"/>
      <c r="G72" s="11"/>
      <c r="H72" s="11"/>
      <c r="I72" s="207"/>
      <c r="J72" s="11"/>
    </row>
    <row r="73" spans="1:41" x14ac:dyDescent="0.25">
      <c r="A73" s="6" t="s">
        <v>37</v>
      </c>
      <c r="B73" s="214"/>
      <c r="C73" s="214"/>
      <c r="D73" s="214"/>
      <c r="E73" s="214"/>
      <c r="F73" s="214"/>
      <c r="G73" s="214"/>
      <c r="H73" s="214"/>
      <c r="I73" s="204"/>
      <c r="J73" s="214"/>
    </row>
    <row r="74" spans="1:41" x14ac:dyDescent="0.25">
      <c r="A74" s="216" t="s">
        <v>16</v>
      </c>
      <c r="B74" s="108">
        <f>B60</f>
        <v>0</v>
      </c>
      <c r="C74" s="108">
        <f>C60</f>
        <v>52000</v>
      </c>
      <c r="D74" s="108">
        <v>59000</v>
      </c>
      <c r="E74" s="108">
        <v>65000</v>
      </c>
      <c r="F74" s="108">
        <v>72000</v>
      </c>
      <c r="G74" s="108">
        <v>78000</v>
      </c>
      <c r="H74" s="108">
        <f>H60</f>
        <v>117000</v>
      </c>
      <c r="I74" s="108">
        <f>I60</f>
        <v>156000</v>
      </c>
      <c r="J74" s="108"/>
    </row>
    <row r="75" spans="1:41" s="155" customFormat="1" x14ac:dyDescent="0.25">
      <c r="A75" s="216" t="str">
        <f>"Percentage &lt;"&amp;$B$49&amp;"% LTV"</f>
        <v>Percentage &lt;70% LTV</v>
      </c>
      <c r="B75" s="111">
        <f t="shared" ref="B75:G75" si="28">B76</f>
        <v>0</v>
      </c>
      <c r="C75" s="111">
        <f t="shared" si="28"/>
        <v>0.41</v>
      </c>
      <c r="D75" s="111">
        <f t="shared" si="28"/>
        <v>0.43</v>
      </c>
      <c r="E75" s="111">
        <f t="shared" si="28"/>
        <v>0.45</v>
      </c>
      <c r="F75" s="111">
        <f t="shared" si="28"/>
        <v>0.46</v>
      </c>
      <c r="G75" s="111">
        <f t="shared" si="28"/>
        <v>0.48</v>
      </c>
      <c r="H75" s="286">
        <f>H61</f>
        <v>0.5</v>
      </c>
      <c r="I75" s="286">
        <f>I61</f>
        <v>0.52</v>
      </c>
      <c r="J75" s="108"/>
      <c r="P75" s="282"/>
      <c r="S75" s="161"/>
      <c r="Z75" s="136"/>
      <c r="AH75" s="141"/>
      <c r="AI75" s="142"/>
      <c r="AN75" s="141"/>
      <c r="AO75" s="142"/>
    </row>
    <row r="76" spans="1:41" x14ac:dyDescent="0.25">
      <c r="A76" s="216" t="str">
        <f>"Percentage &lt;"&amp;$B$50&amp;"% LTV"</f>
        <v>Percentage &lt;85% LTV</v>
      </c>
      <c r="B76" s="111">
        <f>B62</f>
        <v>0</v>
      </c>
      <c r="C76" s="111">
        <v>0.41</v>
      </c>
      <c r="D76" s="111">
        <v>0.43</v>
      </c>
      <c r="E76" s="111">
        <v>0.45</v>
      </c>
      <c r="F76" s="111">
        <v>0.46</v>
      </c>
      <c r="G76" s="111">
        <v>0.48</v>
      </c>
      <c r="H76" s="286">
        <f t="shared" ref="H76:I78" si="29">G76</f>
        <v>0.48</v>
      </c>
      <c r="I76" s="286">
        <f t="shared" si="29"/>
        <v>0.48</v>
      </c>
      <c r="J76" s="111"/>
    </row>
    <row r="77" spans="1:41" x14ac:dyDescent="0.25">
      <c r="A77" s="216" t="str">
        <f>"Percentage &gt;"&amp;$B$50&amp;"% LTV"</f>
        <v>Percentage &gt;85% LTV</v>
      </c>
      <c r="B77" s="111">
        <f>B63</f>
        <v>0</v>
      </c>
      <c r="C77" s="111">
        <v>0.34</v>
      </c>
      <c r="D77" s="111">
        <v>0.36</v>
      </c>
      <c r="E77" s="111">
        <v>0.38</v>
      </c>
      <c r="F77" s="111">
        <v>0.39</v>
      </c>
      <c r="G77" s="111">
        <v>0.41</v>
      </c>
      <c r="H77" s="286">
        <f t="shared" si="29"/>
        <v>0.41</v>
      </c>
      <c r="I77" s="286">
        <f t="shared" si="29"/>
        <v>0.41</v>
      </c>
      <c r="J77" s="111"/>
    </row>
    <row r="78" spans="1:41" x14ac:dyDescent="0.25">
      <c r="A78" s="219" t="str">
        <f>"Percentage &gt;"&amp;$B$51&amp;"% LTV (i.e. "&amp;$C$51&amp;")"</f>
        <v>Percentage &gt;90% LTV (i.e. NGM)</v>
      </c>
      <c r="B78" s="75">
        <f>B64</f>
        <v>0</v>
      </c>
      <c r="C78" s="75">
        <v>0.38</v>
      </c>
      <c r="D78" s="75">
        <v>0.4</v>
      </c>
      <c r="E78" s="75">
        <v>0.42</v>
      </c>
      <c r="F78" s="75">
        <v>0.43</v>
      </c>
      <c r="G78" s="75">
        <v>0.45</v>
      </c>
      <c r="H78" s="289">
        <f t="shared" si="29"/>
        <v>0.45</v>
      </c>
      <c r="I78" s="289">
        <f t="shared" si="29"/>
        <v>0.45</v>
      </c>
      <c r="J78" s="75"/>
    </row>
    <row r="80" spans="1:41" x14ac:dyDescent="0.25">
      <c r="A80" s="85" t="s">
        <v>133</v>
      </c>
    </row>
    <row r="81" spans="1:41" x14ac:dyDescent="0.25">
      <c r="A81" s="47" t="s">
        <v>134</v>
      </c>
    </row>
    <row r="82" spans="1:41" s="155" customFormat="1" x14ac:dyDescent="0.25">
      <c r="A82" s="167"/>
      <c r="I82" s="203"/>
      <c r="P82" s="166"/>
      <c r="S82" s="161"/>
      <c r="Z82" s="136"/>
      <c r="AH82" s="141"/>
      <c r="AI82" s="142"/>
      <c r="AN82" s="141"/>
      <c r="AO82" s="142"/>
    </row>
    <row r="83" spans="1:41" x14ac:dyDescent="0.25">
      <c r="A83" s="107" t="s">
        <v>165</v>
      </c>
      <c r="B83" s="214" t="s">
        <v>238</v>
      </c>
      <c r="C83" s="245" t="s">
        <v>19</v>
      </c>
      <c r="D83" s="245" t="s">
        <v>166</v>
      </c>
      <c r="E83" s="214" t="s">
        <v>238</v>
      </c>
      <c r="F83" s="246" t="s">
        <v>19</v>
      </c>
      <c r="H83" s="16" t="s">
        <v>102</v>
      </c>
      <c r="J83" s="217"/>
    </row>
    <row r="84" spans="1:41" x14ac:dyDescent="0.25">
      <c r="A84" s="76">
        <v>0</v>
      </c>
      <c r="B84" s="201">
        <v>0</v>
      </c>
      <c r="C84" s="111">
        <v>0.9</v>
      </c>
      <c r="D84" s="105">
        <v>0</v>
      </c>
      <c r="E84" s="201">
        <v>0</v>
      </c>
      <c r="F84" s="72">
        <v>0.75</v>
      </c>
      <c r="H84" s="67" t="s">
        <v>103</v>
      </c>
      <c r="J84" s="217"/>
    </row>
    <row r="85" spans="1:41" s="155" customFormat="1" x14ac:dyDescent="0.25">
      <c r="A85" s="76">
        <v>500000</v>
      </c>
      <c r="B85" s="201">
        <v>500001</v>
      </c>
      <c r="C85" s="111">
        <v>0.9</v>
      </c>
      <c r="D85" s="105">
        <v>1000001</v>
      </c>
      <c r="E85" s="201">
        <f>(D85-1)/F85</f>
        <v>1538461.5384615385</v>
      </c>
      <c r="F85" s="72">
        <v>0.65</v>
      </c>
      <c r="H85"/>
      <c r="I85" s="203"/>
      <c r="J85" s="217"/>
      <c r="P85" s="177"/>
      <c r="S85" s="161"/>
      <c r="Z85" s="136"/>
      <c r="AH85" s="141"/>
      <c r="AI85" s="142"/>
      <c r="AN85" s="141"/>
      <c r="AO85" s="142"/>
    </row>
    <row r="86" spans="1:41" x14ac:dyDescent="0.25">
      <c r="A86" s="76">
        <v>600001</v>
      </c>
      <c r="B86" s="201">
        <f>(A86-1)/C86</f>
        <v>705882.3529411765</v>
      </c>
      <c r="C86" s="111">
        <v>0.85</v>
      </c>
      <c r="D86" s="105">
        <v>1250001</v>
      </c>
      <c r="E86" s="201">
        <f>(D86-1)/F86</f>
        <v>2083333.3333333335</v>
      </c>
      <c r="F86" s="72">
        <v>0.6</v>
      </c>
      <c r="H86" s="16" t="s">
        <v>29</v>
      </c>
      <c r="J86" s="217"/>
    </row>
    <row r="87" spans="1:41" x14ac:dyDescent="0.25">
      <c r="A87" s="76">
        <v>1000001</v>
      </c>
      <c r="B87" s="201">
        <f>(A87-1)/C87</f>
        <v>1250000</v>
      </c>
      <c r="C87" s="111">
        <v>0.8</v>
      </c>
      <c r="D87" s="105">
        <v>3000000</v>
      </c>
      <c r="E87" s="201">
        <v>5000000</v>
      </c>
      <c r="F87" s="72">
        <v>0.6</v>
      </c>
      <c r="H87" s="86" t="s">
        <v>174</v>
      </c>
      <c r="J87" s="217"/>
    </row>
    <row r="88" spans="1:41" x14ac:dyDescent="0.25">
      <c r="A88" s="76">
        <v>1250001</v>
      </c>
      <c r="B88" s="201">
        <f>(A88-1)/C88</f>
        <v>1785714.2857142859</v>
      </c>
      <c r="C88" s="111">
        <v>0.7</v>
      </c>
      <c r="D88" s="105"/>
      <c r="E88" s="201" t="e">
        <f>(D88+-1)/F88</f>
        <v>#DIV/0!</v>
      </c>
      <c r="F88" s="72"/>
      <c r="H88" s="17" t="s">
        <v>106</v>
      </c>
      <c r="J88" s="217"/>
    </row>
    <row r="89" spans="1:41" x14ac:dyDescent="0.25">
      <c r="A89" s="77">
        <v>3000001</v>
      </c>
      <c r="B89" s="35">
        <f>(A89-1)/C89</f>
        <v>4285714.2857142864</v>
      </c>
      <c r="C89" s="75">
        <v>0.7</v>
      </c>
      <c r="D89" s="106"/>
      <c r="E89" s="35" t="e">
        <f>(D89+-1)/F89</f>
        <v>#DIV/0!</v>
      </c>
      <c r="F89" s="73"/>
      <c r="J89" s="217"/>
    </row>
    <row r="90" spans="1:41" x14ac:dyDescent="0.25">
      <c r="H90" s="16" t="s">
        <v>275</v>
      </c>
      <c r="J90" s="217"/>
    </row>
    <row r="91" spans="1:41" x14ac:dyDescent="0.25">
      <c r="A91" s="6" t="s">
        <v>267</v>
      </c>
      <c r="B91" s="214"/>
      <c r="C91" s="215"/>
      <c r="H91" s="212" t="s">
        <v>276</v>
      </c>
      <c r="J91" s="217"/>
    </row>
    <row r="92" spans="1:41" x14ac:dyDescent="0.25">
      <c r="A92" s="76">
        <v>0</v>
      </c>
      <c r="B92" s="257">
        <v>2.2499999999999999E-2</v>
      </c>
      <c r="C92" s="258">
        <v>0</v>
      </c>
      <c r="J92" s="217"/>
    </row>
    <row r="93" spans="1:41" x14ac:dyDescent="0.25">
      <c r="A93" s="76">
        <v>250001</v>
      </c>
      <c r="B93" s="257">
        <v>3.5000000000000003E-2</v>
      </c>
      <c r="C93" s="258">
        <f>B92*(A93-1)</f>
        <v>5625</v>
      </c>
      <c r="H93" s="16" t="s">
        <v>321</v>
      </c>
    </row>
    <row r="94" spans="1:41" x14ac:dyDescent="0.25">
      <c r="A94" s="76">
        <v>400001</v>
      </c>
      <c r="B94" s="257">
        <v>0.04</v>
      </c>
      <c r="C94" s="258">
        <f>(A94-A93)*B93+C93</f>
        <v>10875</v>
      </c>
      <c r="H94" s="17" t="s">
        <v>322</v>
      </c>
    </row>
    <row r="95" spans="1:41" x14ac:dyDescent="0.25">
      <c r="A95" s="76">
        <v>750001</v>
      </c>
      <c r="B95" s="257">
        <v>4.2500000000000003E-2</v>
      </c>
      <c r="C95" s="258">
        <f>(A95-A94)*B94+C94</f>
        <v>24875</v>
      </c>
    </row>
    <row r="96" spans="1:41" s="155" customFormat="1" x14ac:dyDescent="0.25">
      <c r="A96" s="76">
        <v>1000001</v>
      </c>
      <c r="B96" s="257">
        <v>4.4999999999999998E-2</v>
      </c>
      <c r="C96" s="258">
        <f>(A96-A95)*B95+C95</f>
        <v>35500</v>
      </c>
      <c r="H96" s="217"/>
      <c r="I96" s="203"/>
      <c r="P96" s="262"/>
      <c r="S96" s="161"/>
      <c r="Z96" s="136"/>
      <c r="AH96" s="141"/>
      <c r="AI96" s="142"/>
      <c r="AN96" s="141"/>
      <c r="AO96" s="142"/>
    </row>
    <row r="97" spans="1:41" x14ac:dyDescent="0.25">
      <c r="A97" s="76">
        <v>2000001</v>
      </c>
      <c r="B97" s="257">
        <v>5.5E-2</v>
      </c>
      <c r="C97" s="258">
        <f>(A97-A96)*B96+C96</f>
        <v>80500</v>
      </c>
      <c r="H97" s="201"/>
    </row>
    <row r="98" spans="1:41" s="155" customFormat="1" x14ac:dyDescent="0.25">
      <c r="A98" s="275"/>
      <c r="B98" s="276"/>
      <c r="C98" s="258"/>
      <c r="I98" s="203"/>
      <c r="P98" s="274"/>
      <c r="S98" s="161"/>
      <c r="Z98" s="136"/>
      <c r="AH98" s="141"/>
      <c r="AI98" s="142"/>
      <c r="AN98" s="141"/>
      <c r="AO98" s="142"/>
    </row>
    <row r="99" spans="1:41" s="155" customFormat="1" x14ac:dyDescent="0.25">
      <c r="A99" s="275" t="s">
        <v>302</v>
      </c>
      <c r="B99" s="277">
        <v>0.97499999999999998</v>
      </c>
      <c r="C99" s="258"/>
      <c r="I99" s="203"/>
      <c r="P99" s="274"/>
      <c r="S99" s="161"/>
      <c r="Z99" s="136"/>
      <c r="AH99" s="141"/>
      <c r="AI99" s="142"/>
      <c r="AN99" s="141"/>
      <c r="AO99" s="142"/>
    </row>
    <row r="100" spans="1:41" x14ac:dyDescent="0.25">
      <c r="A100" s="216"/>
      <c r="B100" s="217"/>
      <c r="C100" s="218"/>
    </row>
    <row r="101" spans="1:41" x14ac:dyDescent="0.25">
      <c r="A101" s="216" t="s">
        <v>268</v>
      </c>
      <c r="B101" s="188">
        <v>3.5000000000000001E-3</v>
      </c>
      <c r="C101" s="218" t="s">
        <v>269</v>
      </c>
    </row>
    <row r="102" spans="1:41" x14ac:dyDescent="0.25">
      <c r="A102" s="216"/>
      <c r="B102" s="217"/>
      <c r="C102" s="218"/>
    </row>
    <row r="103" spans="1:41" x14ac:dyDescent="0.25">
      <c r="A103" s="216" t="s">
        <v>270</v>
      </c>
      <c r="B103" s="188">
        <v>3.0000000000000001E-3</v>
      </c>
      <c r="C103" s="218"/>
    </row>
    <row r="104" spans="1:41" x14ac:dyDescent="0.25">
      <c r="A104" s="216" t="s">
        <v>271</v>
      </c>
      <c r="B104" s="105">
        <v>580</v>
      </c>
      <c r="C104" s="218"/>
    </row>
    <row r="105" spans="1:41" x14ac:dyDescent="0.25">
      <c r="A105" s="219" t="s">
        <v>272</v>
      </c>
      <c r="B105" s="106">
        <v>580</v>
      </c>
      <c r="C105" s="15"/>
    </row>
    <row r="107" spans="1:41" x14ac:dyDescent="0.25">
      <c r="A107" s="247" t="s">
        <v>291</v>
      </c>
      <c r="B107" s="248"/>
      <c r="C107" s="434" t="s">
        <v>292</v>
      </c>
      <c r="D107" s="435"/>
      <c r="F107" s="6" t="s">
        <v>294</v>
      </c>
      <c r="G107" s="103">
        <f>1396/12</f>
        <v>116.33333333333333</v>
      </c>
    </row>
    <row r="108" spans="1:41" x14ac:dyDescent="0.25">
      <c r="A108" s="249"/>
      <c r="B108" s="250"/>
      <c r="C108" s="293" t="s">
        <v>106</v>
      </c>
      <c r="D108" s="251" t="s">
        <v>29</v>
      </c>
      <c r="F108" s="219" t="s">
        <v>295</v>
      </c>
      <c r="G108" s="104">
        <f>1396/12</f>
        <v>116.33333333333333</v>
      </c>
    </row>
    <row r="109" spans="1:41" x14ac:dyDescent="0.25">
      <c r="A109" s="252">
        <v>1</v>
      </c>
      <c r="B109" s="253">
        <f ca="1">IF(TODAY()-(55*365.25)&lt;F109, TODAY()-(55*365.25), F109)</f>
        <v>21609</v>
      </c>
      <c r="C109" s="367">
        <f>G109</f>
        <v>65</v>
      </c>
      <c r="D109" s="368">
        <f>H109</f>
        <v>65</v>
      </c>
      <c r="F109" s="253">
        <v>21609</v>
      </c>
      <c r="G109" s="291">
        <v>65</v>
      </c>
      <c r="H109" s="292">
        <v>65</v>
      </c>
    </row>
    <row r="110" spans="1:41" x14ac:dyDescent="0.25">
      <c r="A110" s="254">
        <f ca="1">B109+1</f>
        <v>21610</v>
      </c>
      <c r="B110" s="253">
        <f ca="1">IF(TODAY()-(55*365.25)&lt;F110, TODAY()-(55*365.25), F110)</f>
        <v>23436</v>
      </c>
      <c r="C110" s="367">
        <f>IF('AIP Indicator'!$G$1="Broker", G110, IF(A110+1&gt;=F109,G110,75))</f>
        <v>66</v>
      </c>
      <c r="D110" s="368">
        <f>IF('AIP Indicator'!$G$1="Broker", H110, IF(A110+1&gt;=F109,H110,75))</f>
        <v>66</v>
      </c>
      <c r="F110" s="253">
        <v>23436</v>
      </c>
      <c r="G110" s="291">
        <v>66</v>
      </c>
      <c r="H110" s="292">
        <v>66</v>
      </c>
    </row>
    <row r="111" spans="1:41" x14ac:dyDescent="0.25">
      <c r="A111" s="254">
        <f ca="1">B110+1</f>
        <v>23437</v>
      </c>
      <c r="B111" s="253">
        <f ca="1">IF(TODAY()-(55*365.25)&lt;F111, TODAY()-(55*365.25), F111)</f>
        <v>24885.25</v>
      </c>
      <c r="C111" s="367">
        <f>IF('AIP Indicator'!$G$1="Broker", G111, IF(A111+1&gt;=F110,G111,75))</f>
        <v>67</v>
      </c>
      <c r="D111" s="368">
        <f>IF('AIP Indicator'!$G$1="Broker", H111, IF(A111+1&gt;=F110,H111,75))</f>
        <v>67</v>
      </c>
      <c r="F111" s="253">
        <v>25262</v>
      </c>
      <c r="G111" s="291">
        <v>67</v>
      </c>
      <c r="H111" s="292">
        <v>67</v>
      </c>
    </row>
    <row r="112" spans="1:41" x14ac:dyDescent="0.25">
      <c r="A112" s="254">
        <f ca="1">B111+1</f>
        <v>24886.25</v>
      </c>
      <c r="B112" s="253">
        <f ca="1">IF(TODAY()-(55*365.25)+2&lt;F112, TODAY()-(55*365.25)+2, F112)</f>
        <v>24887.25</v>
      </c>
      <c r="C112" s="367">
        <f>IF('AIP Indicator'!$G$1="Broker", G112, IF(A112+1&gt;=F111,G112,75))</f>
        <v>68</v>
      </c>
      <c r="D112" s="368">
        <f>IF('AIP Indicator'!$G$1="Broker", H112, IF(A112+1&gt;=F111,H112,75))</f>
        <v>67</v>
      </c>
      <c r="F112" s="253">
        <v>27088</v>
      </c>
      <c r="G112" s="292">
        <v>68</v>
      </c>
      <c r="H112" s="292">
        <v>67</v>
      </c>
    </row>
    <row r="113" spans="1:8" x14ac:dyDescent="0.25">
      <c r="A113" s="254">
        <f ca="1">B112+1</f>
        <v>24888.25</v>
      </c>
      <c r="B113" s="253">
        <f ca="1">IF(TODAY()-(55*365.25)+4&lt;F113, TODAY()-(55*365.25)+4, F113)</f>
        <v>24889.25</v>
      </c>
      <c r="C113" s="367">
        <f>IF('AIP Indicator'!$G$1="Broker", G113, IF(A113+1&gt;=F112,G113,75))</f>
        <v>69</v>
      </c>
      <c r="D113" s="368">
        <f>IF('AIP Indicator'!$G$1="Broker", H113, IF(A113+1&gt;=F112,H113,75))</f>
        <v>67</v>
      </c>
      <c r="F113" s="253">
        <v>28914</v>
      </c>
      <c r="G113" s="292">
        <v>69</v>
      </c>
      <c r="H113" s="292">
        <v>67</v>
      </c>
    </row>
    <row r="114" spans="1:8" x14ac:dyDescent="0.25">
      <c r="A114" s="255">
        <f ca="1">B113+1</f>
        <v>24890.25</v>
      </c>
      <c r="B114" s="256"/>
      <c r="C114" s="369">
        <f>IF('AIP Indicator'!$G$1="Broker", G114, IF(A114+1&gt;=F113,G114,75))</f>
        <v>70</v>
      </c>
      <c r="D114" s="370">
        <f>IF('AIP Indicator'!$G$1="Broker", H114, IF(A114+1&gt;=F113,H114,75))</f>
        <v>67</v>
      </c>
      <c r="G114" s="292">
        <v>70</v>
      </c>
      <c r="H114" s="292">
        <v>67</v>
      </c>
    </row>
    <row r="116" spans="1:8" x14ac:dyDescent="0.25">
      <c r="A116" s="136"/>
    </row>
  </sheetData>
  <mergeCells count="3">
    <mergeCell ref="K2:M2"/>
    <mergeCell ref="N2:O2"/>
    <mergeCell ref="C107:D107"/>
  </mergeCells>
  <dataValidations count="1">
    <dataValidation type="list" allowBlank="1" showInputMessage="1" showErrorMessage="1" sqref="K4:M30 P4:P30 R4:R30" xr:uid="{00000000-0002-0000-0400-000000000000}">
      <formula1>Yes_No_Switch</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13"/>
  <sheetViews>
    <sheetView zoomScale="90" zoomScaleNormal="90" workbookViewId="0">
      <selection activeCell="C3" sqref="C3"/>
    </sheetView>
  </sheetViews>
  <sheetFormatPr defaultRowHeight="15" x14ac:dyDescent="0.25"/>
  <cols>
    <col min="1" max="1" width="57" customWidth="1"/>
    <col min="2" max="2" width="27.28515625" style="155" customWidth="1"/>
    <col min="3" max="3" width="27.28515625" customWidth="1"/>
    <col min="4" max="4" width="19" customWidth="1"/>
    <col min="5" max="5" width="17.7109375" customWidth="1"/>
    <col min="6" max="6" width="17.7109375" style="155" customWidth="1"/>
    <col min="7" max="7" width="8.5703125" customWidth="1"/>
    <col min="8" max="8" width="30.7109375" customWidth="1"/>
    <col min="9" max="9" width="20.42578125" customWidth="1"/>
    <col min="10" max="10" width="18.28515625" customWidth="1"/>
    <col min="11" max="11" width="3.7109375" customWidth="1"/>
    <col min="12" max="12" width="31.5703125" customWidth="1"/>
    <col min="13" max="13" width="22.5703125" customWidth="1"/>
    <col min="14" max="14" width="18.42578125" customWidth="1"/>
    <col min="15" max="15" width="3.7109375" customWidth="1"/>
    <col min="16" max="16" width="39" customWidth="1"/>
    <col min="17" max="17" width="15.28515625" customWidth="1"/>
    <col min="18" max="18" width="19.28515625" customWidth="1"/>
    <col min="19" max="19" width="4" customWidth="1"/>
    <col min="20" max="20" width="38.7109375" customWidth="1"/>
    <col min="21" max="21" width="15.7109375" customWidth="1"/>
    <col min="22" max="22" width="17.7109375" customWidth="1"/>
    <col min="23" max="23" width="4.5703125" customWidth="1"/>
    <col min="24" max="24" width="38.7109375" customWidth="1"/>
    <col min="25" max="25" width="15.7109375" customWidth="1"/>
    <col min="26" max="26" width="17.7109375" customWidth="1"/>
    <col min="27" max="27" width="3.5703125" customWidth="1"/>
    <col min="28" max="28" width="38.7109375" customWidth="1"/>
    <col min="29" max="29" width="15.7109375" customWidth="1"/>
    <col min="30" max="30" width="17.7109375" customWidth="1"/>
  </cols>
  <sheetData>
    <row r="1" spans="1:30" x14ac:dyDescent="0.25">
      <c r="H1" s="217"/>
      <c r="I1" s="217"/>
      <c r="J1" s="217"/>
      <c r="K1" s="217"/>
      <c r="L1" s="217"/>
      <c r="M1" s="217"/>
      <c r="N1" s="217"/>
      <c r="O1" s="217"/>
      <c r="P1" s="217"/>
      <c r="Q1" s="217"/>
      <c r="R1" s="217"/>
      <c r="S1" s="217"/>
      <c r="T1" s="217"/>
      <c r="U1" s="217"/>
      <c r="V1" s="217"/>
      <c r="W1" s="217"/>
      <c r="X1" s="217"/>
      <c r="Y1" s="217"/>
      <c r="Z1" s="217"/>
      <c r="AA1" s="217"/>
      <c r="AB1" s="217"/>
      <c r="AC1" s="217"/>
      <c r="AD1" s="217"/>
    </row>
    <row r="2" spans="1:30" x14ac:dyDescent="0.25">
      <c r="A2" s="25" t="s">
        <v>77</v>
      </c>
      <c r="B2" s="283"/>
      <c r="C2" s="7"/>
      <c r="D2" s="7"/>
      <c r="E2" s="8"/>
      <c r="F2" s="11"/>
      <c r="H2" s="222" t="s">
        <v>64</v>
      </c>
      <c r="I2" s="214"/>
      <c r="J2" s="215"/>
      <c r="K2" s="217"/>
      <c r="L2" s="222" t="s">
        <v>122</v>
      </c>
      <c r="M2" s="214"/>
      <c r="N2" s="215"/>
      <c r="S2" s="217"/>
      <c r="T2" s="198"/>
      <c r="U2" s="217"/>
      <c r="V2" s="217"/>
      <c r="W2" s="217"/>
      <c r="X2" s="217"/>
      <c r="Y2" s="217"/>
      <c r="Z2" s="217"/>
      <c r="AA2" s="217"/>
      <c r="AB2" s="217"/>
      <c r="AC2" s="217"/>
      <c r="AD2" s="217"/>
    </row>
    <row r="3" spans="1:30" x14ac:dyDescent="0.25">
      <c r="A3" t="s">
        <v>24</v>
      </c>
      <c r="C3" s="20">
        <f>IF('AIP Indicator'!D29="No", IF(Island= "Jersey", 'Metrics &amp; Drop Downs'!C37, IF(Island= "Guernsey", 'Metrics &amp; Drop Downs'!C35,  'Metrics &amp; Drop Downs'!C36)), IF(Island= "Jersey", 'Metrics &amp; Drop Downs'!D37, IF(Island= "Guernsey", 'Metrics &amp; Drop Downs'!D35,  'Metrics &amp; Drop Downs'!D36)))</f>
        <v>6.4899999999999999E-2</v>
      </c>
      <c r="D3" s="11"/>
      <c r="E3" s="12"/>
      <c r="F3" s="11"/>
      <c r="H3" s="216"/>
      <c r="I3" s="217"/>
      <c r="J3" s="192" t="s">
        <v>61</v>
      </c>
      <c r="K3" s="217"/>
      <c r="L3" s="216"/>
      <c r="M3" s="217"/>
      <c r="N3" s="192" t="s">
        <v>61</v>
      </c>
      <c r="S3" s="217"/>
      <c r="T3" s="217"/>
      <c r="U3" s="217"/>
      <c r="V3" s="238"/>
      <c r="W3" s="217"/>
      <c r="X3" s="217"/>
      <c r="Y3" s="217"/>
      <c r="Z3" s="217"/>
      <c r="AA3" s="217"/>
      <c r="AB3" s="217"/>
      <c r="AC3" s="217"/>
      <c r="AD3" s="217"/>
    </row>
    <row r="4" spans="1:30" x14ac:dyDescent="0.25">
      <c r="A4" s="9"/>
      <c r="B4" s="217"/>
      <c r="C4" s="11"/>
      <c r="D4" s="11"/>
      <c r="E4" s="12"/>
      <c r="F4" s="265"/>
      <c r="H4" s="268" t="s">
        <v>60</v>
      </c>
      <c r="I4" s="266" t="e">
        <f ca="1">I5*((1+Stress_Rate/12)^($C$98*12)-1)/(Stress_Rate/12*(1+Stress_Rate/12)^($C$98*12))</f>
        <v>#VALUE!</v>
      </c>
      <c r="J4" s="267" t="e">
        <f ca="1">ROUNDDOWN(I4, -2)</f>
        <v>#VALUE!</v>
      </c>
      <c r="K4" s="266"/>
      <c r="L4" s="268" t="s">
        <v>60</v>
      </c>
      <c r="M4" s="266" t="e">
        <f ca="1">M5*((1+Stress_Rate/12)^($C$99*12)-1)/(Stress_Rate/12*(1+Stress_Rate/12)^($C$99*12))</f>
        <v>#N/A</v>
      </c>
      <c r="N4" s="267" t="e">
        <f ca="1">ROUNDDOWN(M4, -2)</f>
        <v>#N/A</v>
      </c>
      <c r="S4" s="217"/>
      <c r="T4" s="217"/>
      <c r="U4" s="224"/>
      <c r="V4" s="224"/>
      <c r="W4" s="217"/>
      <c r="X4" s="217"/>
      <c r="Y4" s="217"/>
      <c r="Z4" s="217"/>
      <c r="AA4" s="217"/>
      <c r="AB4" s="217"/>
      <c r="AC4" s="217"/>
      <c r="AD4" s="217"/>
    </row>
    <row r="5" spans="1:30" x14ac:dyDescent="0.25">
      <c r="D5" s="11"/>
      <c r="E5" s="12"/>
      <c r="F5" s="11"/>
      <c r="H5" s="268" t="s">
        <v>300</v>
      </c>
      <c r="I5" s="266">
        <f>SUM(I6:J6)</f>
        <v>0</v>
      </c>
      <c r="J5" s="269" t="s">
        <v>301</v>
      </c>
      <c r="K5" s="266"/>
      <c r="L5" s="268" t="s">
        <v>300</v>
      </c>
      <c r="M5" s="266" t="e">
        <f ca="1">SUM(M6:N6)</f>
        <v>#N/A</v>
      </c>
      <c r="N5" s="269" t="s">
        <v>301</v>
      </c>
      <c r="S5" s="217"/>
      <c r="T5" s="217"/>
      <c r="U5" s="223"/>
      <c r="V5" s="217"/>
      <c r="W5" s="217"/>
      <c r="X5" s="217"/>
      <c r="Y5" s="217"/>
      <c r="Z5" s="217"/>
      <c r="AA5" s="217"/>
      <c r="AB5" s="217"/>
      <c r="AC5" s="217"/>
      <c r="AD5" s="217"/>
    </row>
    <row r="6" spans="1:30" x14ac:dyDescent="0.25">
      <c r="A6" s="9"/>
      <c r="B6" s="217"/>
      <c r="C6" s="11"/>
      <c r="D6" s="11"/>
      <c r="E6" s="12"/>
      <c r="F6" s="11"/>
      <c r="H6" s="219" t="s">
        <v>299</v>
      </c>
      <c r="I6" s="225">
        <f>F19-Outgoings</f>
        <v>0</v>
      </c>
      <c r="J6" s="15">
        <f>-(I6-(Amount_Requested*Stress_Rate*30.4/365))*Stress_Rate*30.4/365</f>
        <v>0</v>
      </c>
      <c r="K6" s="217"/>
      <c r="L6" s="219" t="s">
        <v>299</v>
      </c>
      <c r="M6" s="225" t="e">
        <f ca="1">MIN(Refer_Retirement_Monthly,F19)-Outgoings</f>
        <v>#N/A</v>
      </c>
      <c r="N6" s="15" t="e">
        <f ca="1">-(M6-(J15*Stress_Rate*30.4/365))*Stress_Rate*30.4/365</f>
        <v>#N/A</v>
      </c>
      <c r="S6" s="217"/>
      <c r="T6" s="217"/>
      <c r="U6" s="51"/>
      <c r="V6" s="217"/>
      <c r="W6" s="217"/>
      <c r="X6" s="217"/>
      <c r="Y6" s="217"/>
      <c r="Z6" s="217"/>
      <c r="AA6" s="217"/>
      <c r="AB6" s="217"/>
      <c r="AC6" s="217"/>
      <c r="AD6" s="217"/>
    </row>
    <row r="7" spans="1:30" x14ac:dyDescent="0.25">
      <c r="A7" s="9" t="s">
        <v>300</v>
      </c>
      <c r="B7" s="217"/>
      <c r="C7" s="22" t="e">
        <f>Amount_Requested*(Stress_Rate/12*(1+Stress_Rate/12)^(Requested_Term*12))/((1+Stress_Rate/12)^(Requested_Term*12)-1)</f>
        <v>#DIV/0!</v>
      </c>
      <c r="D7" s="238" t="s">
        <v>301</v>
      </c>
      <c r="E7" s="12"/>
      <c r="F7" s="11"/>
      <c r="H7" s="217"/>
      <c r="I7" s="217"/>
      <c r="J7" s="217"/>
      <c r="K7" s="217"/>
      <c r="L7" s="217"/>
      <c r="M7" s="217"/>
      <c r="N7" s="217"/>
      <c r="O7" s="217"/>
      <c r="P7" s="217"/>
      <c r="Q7" s="217"/>
      <c r="R7" s="217"/>
      <c r="S7" s="217"/>
      <c r="T7" s="217"/>
      <c r="U7" s="217"/>
      <c r="V7" s="217"/>
      <c r="W7" s="217"/>
      <c r="X7" s="217"/>
      <c r="Y7" s="217"/>
      <c r="Z7" s="217"/>
      <c r="AA7" s="217"/>
      <c r="AB7" s="217"/>
      <c r="AC7" s="217"/>
      <c r="AD7" s="217"/>
    </row>
    <row r="8" spans="1:30" x14ac:dyDescent="0.25">
      <c r="A8" s="13" t="s">
        <v>299</v>
      </c>
      <c r="B8" s="220"/>
      <c r="C8" s="23" t="e">
        <f>ROUND(C7+D8,2)</f>
        <v>#DIV/0!</v>
      </c>
      <c r="D8" s="14" t="e">
        <f>-(C7-(Amount_Requested*Stress_Rate*30.4/365))*Stress_Rate*30.4/365</f>
        <v>#DIV/0!</v>
      </c>
      <c r="E8" s="24"/>
      <c r="F8" s="31"/>
      <c r="H8" s="222" t="s">
        <v>242</v>
      </c>
      <c r="I8" s="214"/>
      <c r="J8" s="215"/>
      <c r="K8" s="217"/>
      <c r="L8" s="222" t="s">
        <v>243</v>
      </c>
      <c r="M8" s="214"/>
      <c r="N8" s="215"/>
      <c r="O8" s="217"/>
      <c r="P8" s="222" t="s">
        <v>244</v>
      </c>
      <c r="Q8" s="214"/>
      <c r="R8" s="215"/>
      <c r="S8" s="217"/>
      <c r="T8" s="222" t="s">
        <v>245</v>
      </c>
      <c r="U8" s="214"/>
      <c r="V8" s="215"/>
      <c r="W8" s="217"/>
      <c r="X8" s="222" t="s">
        <v>246</v>
      </c>
      <c r="Y8" s="214"/>
      <c r="Z8" s="215"/>
      <c r="AA8" s="217"/>
      <c r="AB8" s="222" t="s">
        <v>247</v>
      </c>
      <c r="AC8" s="214"/>
      <c r="AD8" s="215"/>
    </row>
    <row r="9" spans="1:30" x14ac:dyDescent="0.25">
      <c r="H9" s="216"/>
      <c r="I9" s="217"/>
      <c r="J9" s="218"/>
      <c r="K9" s="217"/>
      <c r="L9" s="216"/>
      <c r="M9" s="217"/>
      <c r="N9" s="218"/>
      <c r="O9" s="217"/>
      <c r="P9" s="216"/>
      <c r="Q9" s="217"/>
      <c r="R9" s="218"/>
      <c r="S9" s="217"/>
      <c r="T9" s="216"/>
      <c r="U9" s="217"/>
      <c r="V9" s="218"/>
      <c r="W9" s="217"/>
      <c r="X9" s="216"/>
      <c r="Y9" s="217"/>
      <c r="Z9" s="218"/>
      <c r="AA9" s="217"/>
      <c r="AB9" s="216"/>
      <c r="AC9" s="217"/>
      <c r="AD9" s="218"/>
    </row>
    <row r="10" spans="1:30" x14ac:dyDescent="0.25">
      <c r="A10" s="25" t="s">
        <v>41</v>
      </c>
      <c r="B10" s="283"/>
      <c r="C10" s="7"/>
      <c r="D10" s="7"/>
      <c r="E10" s="8"/>
      <c r="F10" s="11"/>
      <c r="H10" s="216" t="s">
        <v>300</v>
      </c>
      <c r="I10" s="266" t="e">
        <f>Amount_Requested*('Metrics &amp; Drop Downs'!AH4/12)*(1+'Metrics &amp; Drop Downs'!AH4/12)^(Requested_Term*12)/((1+'Metrics &amp; Drop Downs'!AH4/12)^(Requested_Term*12)-1)</f>
        <v>#VALUE!</v>
      </c>
      <c r="J10" s="269" t="s">
        <v>301</v>
      </c>
      <c r="K10" s="266"/>
      <c r="L10" s="268" t="s">
        <v>300</v>
      </c>
      <c r="M10" s="266" t="e">
        <f>Amount_Requested*('Metrics &amp; Drop Downs'!AH5/12)*(1+'Metrics &amp; Drop Downs'!AH5/12)^(Requested_Term*12)/((1+'Metrics &amp; Drop Downs'!AH5/12)^(Requested_Term*12)-1)</f>
        <v>#VALUE!</v>
      </c>
      <c r="N10" s="269" t="s">
        <v>301</v>
      </c>
      <c r="O10" s="266"/>
      <c r="P10" s="268" t="s">
        <v>300</v>
      </c>
      <c r="Q10" s="266" t="e">
        <f>Amount_Requested*('Metrics &amp; Drop Downs'!AH6/12)*(1+'Metrics &amp; Drop Downs'!AH6/12)^(Requested_Term*12)/((1+'Metrics &amp; Drop Downs'!AH6/12)^(Requested_Term*12)-1)</f>
        <v>#VALUE!</v>
      </c>
      <c r="R10" s="269" t="s">
        <v>301</v>
      </c>
      <c r="S10" s="217"/>
      <c r="T10" s="216" t="s">
        <v>300</v>
      </c>
      <c r="U10" s="221" t="e">
        <f>Amount_Requested*('Metrics &amp; Drop Downs'!AH7/12)*(1+'Metrics &amp; Drop Downs'!AH7/12)^(Requested_Term*12)/((1+'Metrics &amp; Drop Downs'!AH7/12)^(Requested_Term*12)-1)</f>
        <v>#VALUE!</v>
      </c>
      <c r="V10" s="192" t="s">
        <v>301</v>
      </c>
      <c r="W10" s="217"/>
      <c r="X10" s="216" t="s">
        <v>300</v>
      </c>
      <c r="Y10" s="221" t="e">
        <f>Amount_Requested*('Metrics &amp; Drop Downs'!AH8/12)*(1+'Metrics &amp; Drop Downs'!AH8/12)^(Requested_Term*12)/((1+'Metrics &amp; Drop Downs'!AH8/12)^(Requested_Term*12)-1)</f>
        <v>#VALUE!</v>
      </c>
      <c r="Z10" s="192" t="s">
        <v>301</v>
      </c>
      <c r="AA10" s="217"/>
      <c r="AB10" s="216" t="s">
        <v>300</v>
      </c>
      <c r="AC10" s="221" t="e">
        <f>Amount_Requested*('Metrics &amp; Drop Downs'!AH9/12)*(1+'Metrics &amp; Drop Downs'!AH9/12)^(Requested_Term*12)/((1+'Metrics &amp; Drop Downs'!AH9/12)^(Requested_Term*12)-1)</f>
        <v>#VALUE!</v>
      </c>
      <c r="AD10" s="192" t="s">
        <v>301</v>
      </c>
    </row>
    <row r="11" spans="1:30" x14ac:dyDescent="0.25">
      <c r="A11" s="139" t="s">
        <v>32</v>
      </c>
      <c r="B11" s="34" t="str">
        <f>IF(Input!E11=0,"Sole", "Joint")</f>
        <v>Sole</v>
      </c>
      <c r="C11" s="5" t="str">
        <f>"&gt;"&amp;'Metrics &amp; Drop Downs'!B49&amp;"% LTV"</f>
        <v>&gt;70% LTV</v>
      </c>
      <c r="D11" s="5" t="str">
        <f>"&gt;"&amp;'Metrics &amp; Drop Downs'!B50&amp;"% LTV"</f>
        <v>&gt;85% LTV</v>
      </c>
      <c r="E11" s="192" t="s">
        <v>147</v>
      </c>
      <c r="F11" s="11"/>
      <c r="H11" s="219" t="s">
        <v>299</v>
      </c>
      <c r="I11" s="270" t="e">
        <f>ROUND(I10+J11, 2)</f>
        <v>#VALUE!</v>
      </c>
      <c r="J11" s="271" t="e">
        <f>-(I10-(Amount_Requested*'Metrics &amp; Drop Downs'!AH4*30.4/365))*'Metrics &amp; Drop Downs'!AH4*30.4/365</f>
        <v>#VALUE!</v>
      </c>
      <c r="K11" s="266"/>
      <c r="L11" s="272" t="s">
        <v>299</v>
      </c>
      <c r="M11" s="270" t="e">
        <f>ROUND(M10+N11, 2)</f>
        <v>#VALUE!</v>
      </c>
      <c r="N11" s="271" t="e">
        <f>-(M10-(Amount_Requested*'Metrics &amp; Drop Downs'!AH5*30.4/365))*'Metrics &amp; Drop Downs'!AH5*30.4/365</f>
        <v>#VALUE!</v>
      </c>
      <c r="O11" s="266"/>
      <c r="P11" s="272" t="s">
        <v>299</v>
      </c>
      <c r="Q11" s="270" t="e">
        <f>ROUND(Q10+R11, 2)</f>
        <v>#VALUE!</v>
      </c>
      <c r="R11" s="271" t="e">
        <f>-(Q10-(Amount_Requested*'Metrics &amp; Drop Downs'!AH6*30.4/365))*'Metrics &amp; Drop Downs'!AH6*30.4/365</f>
        <v>#VALUE!</v>
      </c>
      <c r="S11" s="217"/>
      <c r="T11" s="219" t="s">
        <v>299</v>
      </c>
      <c r="U11" s="23" t="e">
        <f>ROUND(U10+V11, 2)</f>
        <v>#VALUE!</v>
      </c>
      <c r="V11" s="15" t="e">
        <f>-(U10-(Amount_Requested*'Metrics &amp; Drop Downs'!AH7*30.4/365))*'Metrics &amp; Drop Downs'!AH7*30.4/365</f>
        <v>#VALUE!</v>
      </c>
      <c r="W11" s="217"/>
      <c r="X11" s="219" t="s">
        <v>299</v>
      </c>
      <c r="Y11" s="23" t="e">
        <f>ROUND(Y10+Z11, 2)</f>
        <v>#VALUE!</v>
      </c>
      <c r="Z11" s="15" t="e">
        <f>-(Y10-(Amount_Requested*'Metrics &amp; Drop Downs'!AH8*30.4/365))*'Metrics &amp; Drop Downs'!AH8*30.4/365</f>
        <v>#VALUE!</v>
      </c>
      <c r="AA11" s="217"/>
      <c r="AB11" s="219" t="s">
        <v>299</v>
      </c>
      <c r="AC11" s="23" t="e">
        <f>ROUND(AC10+AD11, 2)</f>
        <v>#VALUE!</v>
      </c>
      <c r="AD11" s="15" t="e">
        <f>-(AC10-(Amount_Requested*'Metrics &amp; Drop Downs'!AH9*30.4/365))*'Metrics &amp; Drop Downs'!AH9*30.4/365</f>
        <v>#VALUE!</v>
      </c>
    </row>
    <row r="12" spans="1:30" x14ac:dyDescent="0.25">
      <c r="A12" s="139" t="s">
        <v>33</v>
      </c>
      <c r="B12" s="162">
        <f>HLOOKUP(Income,'Metrics &amp; Drop Downs'!B53:J57,2, TRUE)</f>
        <v>0</v>
      </c>
      <c r="C12" s="162">
        <f>HLOOKUP(Income,'Metrics &amp; Drop Downs'!B53:J57,3, TRUE)</f>
        <v>0</v>
      </c>
      <c r="D12" s="162">
        <f>HLOOKUP(Income,'Metrics &amp; Drop Downs'!B53:J57,4, TRUE)</f>
        <v>0</v>
      </c>
      <c r="E12" s="180">
        <f>HLOOKUP(Income,'Metrics &amp; Drop Downs'!B53:J57,5, TRUE)</f>
        <v>0</v>
      </c>
      <c r="F12" s="11"/>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row>
    <row r="13" spans="1:30" x14ac:dyDescent="0.25">
      <c r="A13" s="139" t="s">
        <v>34</v>
      </c>
      <c r="B13" s="162">
        <f>HLOOKUP(Income,'Metrics &amp; Drop Downs'!B60:J64,2, TRUE)</f>
        <v>0</v>
      </c>
      <c r="C13" s="162">
        <f>HLOOKUP(Income,'Metrics &amp; Drop Downs'!B60:J64,3, TRUE)</f>
        <v>0</v>
      </c>
      <c r="D13" s="162">
        <f>HLOOKUP(Income,'Metrics &amp; Drop Downs'!B60:J64,4, TRUE)</f>
        <v>0</v>
      </c>
      <c r="E13" s="180">
        <f>HLOOKUP(Income,'Metrics &amp; Drop Downs'!B60:J64,5, TRUE)</f>
        <v>0</v>
      </c>
      <c r="F13" s="11"/>
      <c r="H13" s="222" t="s">
        <v>63</v>
      </c>
      <c r="I13" s="214"/>
      <c r="J13" s="215"/>
      <c r="L13" s="222" t="s">
        <v>232</v>
      </c>
      <c r="M13" s="214"/>
      <c r="N13" s="215"/>
      <c r="P13" s="222" t="s">
        <v>121</v>
      </c>
      <c r="Q13" s="214"/>
      <c r="R13" s="215"/>
      <c r="S13" s="217"/>
      <c r="T13" s="222" t="s">
        <v>279</v>
      </c>
      <c r="U13" s="214"/>
      <c r="V13" s="215"/>
      <c r="W13" s="217"/>
      <c r="X13" s="222" t="s">
        <v>307</v>
      </c>
      <c r="Y13" s="214"/>
      <c r="Z13" s="215"/>
      <c r="AA13" s="217"/>
      <c r="AB13" s="222" t="s">
        <v>308</v>
      </c>
      <c r="AC13" s="214"/>
      <c r="AD13" s="215"/>
    </row>
    <row r="14" spans="1:30" x14ac:dyDescent="0.25">
      <c r="A14" s="139" t="s">
        <v>35</v>
      </c>
      <c r="B14" s="162">
        <f>HLOOKUP(Income,'Metrics &amp; Drop Downs'!B67:J71,2, TRUE)</f>
        <v>0</v>
      </c>
      <c r="C14" s="162">
        <f>HLOOKUP(Income,'Metrics &amp; Drop Downs'!B67:J71,3, TRUE)</f>
        <v>0</v>
      </c>
      <c r="D14" s="162">
        <f>HLOOKUP(Income,'Metrics &amp; Drop Downs'!B67:J71,4, TRUE)</f>
        <v>0</v>
      </c>
      <c r="E14" s="180">
        <f>HLOOKUP(Income,'Metrics &amp; Drop Downs'!B67:J71,5, TRUE)</f>
        <v>0</v>
      </c>
      <c r="F14" s="11"/>
      <c r="H14" s="216"/>
      <c r="I14" s="217"/>
      <c r="J14" s="192" t="s">
        <v>62</v>
      </c>
      <c r="L14" s="216"/>
      <c r="M14" s="217"/>
      <c r="N14" s="192" t="s">
        <v>62</v>
      </c>
      <c r="P14" s="216"/>
      <c r="Q14" s="217"/>
      <c r="R14" s="192" t="s">
        <v>62</v>
      </c>
      <c r="S14" s="217"/>
      <c r="T14" s="216"/>
      <c r="U14" s="217"/>
      <c r="V14" s="192" t="s">
        <v>62</v>
      </c>
      <c r="W14" s="217"/>
      <c r="X14" s="216"/>
      <c r="Y14" s="217"/>
      <c r="Z14" s="192" t="s">
        <v>62</v>
      </c>
      <c r="AA14" s="217"/>
      <c r="AB14" s="216"/>
      <c r="AC14" s="217"/>
      <c r="AD14" s="192" t="s">
        <v>62</v>
      </c>
    </row>
    <row r="15" spans="1:30" s="28" customFormat="1" x14ac:dyDescent="0.25">
      <c r="A15" s="27" t="s">
        <v>36</v>
      </c>
      <c r="B15" s="162">
        <f xml:space="preserve"> HLOOKUP(Income,'Metrics &amp; Drop Downs'!B74:J78,2, TRUE)</f>
        <v>0</v>
      </c>
      <c r="C15" s="162">
        <f xml:space="preserve"> HLOOKUP(Income,'Metrics &amp; Drop Downs'!B74:J78,3, TRUE)</f>
        <v>0</v>
      </c>
      <c r="D15" s="162">
        <f>HLOOKUP(Income,'Metrics &amp; Drop Downs'!B74:J80,4, TRUE)</f>
        <v>0</v>
      </c>
      <c r="E15" s="180">
        <f>HLOOKUP(Income,'Metrics &amp; Drop Downs'!B74:J80,5, TRUE)</f>
        <v>0</v>
      </c>
      <c r="F15" s="179"/>
      <c r="H15" s="216" t="s">
        <v>60</v>
      </c>
      <c r="I15" s="266" t="e">
        <f ca="1">I16*((1+Stress_Rate/12)^($C$98*12)-1)/(Stress_Rate/12*(1+Stress_Rate/12)^($C$98*12))</f>
        <v>#VALUE!</v>
      </c>
      <c r="J15" s="267" t="e">
        <f ca="1">ROUNDDOWN(I15, -2)</f>
        <v>#VALUE!</v>
      </c>
      <c r="L15" s="268" t="s">
        <v>60</v>
      </c>
      <c r="M15" s="266" t="e">
        <f ca="1">M16*((1+Stress_Rate/12)^($C$98*12)-1)/(Stress_Rate/12*(1+Stress_Rate/12)^($C$98*12))</f>
        <v>#VALUE!</v>
      </c>
      <c r="N15" s="267" t="e">
        <f ca="1">IF(Island="Jersey", IF(ROUNDDOWN(M15, -2)&lt;Jsy_Min_Valuation, 0, ROUNDDOWN(M15, -2)),IF(Island="GHA", IF(ROUNDDOWN(M15, -2)&lt;GHA_Min_Valuation, 0, ROUNDDOWN(M15, -2)), IF(ROUNDDOWN(M15, -2)&lt;Gsy_Min_Valuation, 0, ROUNDDOWN(M15, -2))))</f>
        <v>#VALUE!</v>
      </c>
      <c r="P15" s="216" t="s">
        <v>60</v>
      </c>
      <c r="Q15" s="266" t="e">
        <f ca="1">Q16*((1+Stress_Rate/12)^(C99*12)-1)/(Stress_Rate/12*(1+Stress_Rate/12)^(C99*12))</f>
        <v>#N/A</v>
      </c>
      <c r="R15" s="267" t="e">
        <f ca="1">ROUNDDOWN(Q15, -2)</f>
        <v>#N/A</v>
      </c>
      <c r="S15" s="266"/>
      <c r="T15" s="268" t="s">
        <v>60</v>
      </c>
      <c r="U15" s="266" t="e">
        <f ca="1">U16*((1+Stress_Rate/12)^($C$99*12)-1)/(Stress_Rate/12*(1+Stress_Rate/12)^($C$99*12))</f>
        <v>#N/A</v>
      </c>
      <c r="V15" s="267" t="e">
        <f ca="1">ROUNDDOWN(U15, -2)</f>
        <v>#N/A</v>
      </c>
      <c r="W15" s="266"/>
      <c r="X15" s="216" t="s">
        <v>60</v>
      </c>
      <c r="Y15" s="266" t="e">
        <f ca="1">Y16*((1+Stress_Rate/12)^($C$100*12)-1)/(Stress_Rate/12*(1+Stress_Rate/12)^($C$100*12))</f>
        <v>#N/A</v>
      </c>
      <c r="Z15" s="267" t="e">
        <f ca="1">ROUNDDOWN(Y15, -2)</f>
        <v>#N/A</v>
      </c>
      <c r="AA15" s="266"/>
      <c r="AB15" s="268" t="s">
        <v>60</v>
      </c>
      <c r="AC15" s="266" t="e">
        <f ca="1">AC16*((1+Stress_Rate/12)^($C$100*12)-1)/(Stress_Rate/12*(1+Stress_Rate/12)^($C$100*12))</f>
        <v>#N/A</v>
      </c>
      <c r="AD15" s="267" t="e">
        <f ca="1">ROUNDDOWN(AC15, -2)</f>
        <v>#N/A</v>
      </c>
    </row>
    <row r="16" spans="1:30" s="28" customFormat="1" x14ac:dyDescent="0.25">
      <c r="A16" s="27" t="s">
        <v>39</v>
      </c>
      <c r="B16" s="162">
        <f>IF(Island="Jersey",IF($B$11="Sole", B14,B15), IF($B$11="Sole", B12, B13))</f>
        <v>0</v>
      </c>
      <c r="C16" s="134">
        <f>IF(Island="Jersey",IF($B$11="Sole", C14,C15), IF($B$11="Sole", C12, C13))</f>
        <v>0</v>
      </c>
      <c r="D16" s="134">
        <f>IF(Island="Jersey",IF($B$11="Sole", D14,D15), IF($B$11="Sole", D12, D13))</f>
        <v>0</v>
      </c>
      <c r="E16" s="180">
        <f>IF(Island="Jersey",IF($B$11="Sole", E14,E15), IF($B$11="Sole", E12, E13))</f>
        <v>0</v>
      </c>
      <c r="F16" s="179"/>
      <c r="H16" s="216" t="s">
        <v>300</v>
      </c>
      <c r="I16" s="266">
        <f>SUM(I17:J17)</f>
        <v>0</v>
      </c>
      <c r="J16" s="269" t="s">
        <v>301</v>
      </c>
      <c r="L16" s="268" t="s">
        <v>300</v>
      </c>
      <c r="M16" s="273" t="e">
        <f ca="1">M17-N17</f>
        <v>#VALUE!</v>
      </c>
      <c r="N16" s="269" t="s">
        <v>301</v>
      </c>
      <c r="P16" s="216" t="s">
        <v>300</v>
      </c>
      <c r="Q16" s="273" t="e">
        <f ca="1">Q17-R17</f>
        <v>#N/A</v>
      </c>
      <c r="R16" s="269" t="s">
        <v>301</v>
      </c>
      <c r="S16" s="266"/>
      <c r="T16" s="268" t="s">
        <v>300</v>
      </c>
      <c r="U16" s="273" t="e">
        <f ca="1">U17-V17</f>
        <v>#N/A</v>
      </c>
      <c r="V16" s="269" t="s">
        <v>301</v>
      </c>
      <c r="W16" s="266"/>
      <c r="X16" s="216" t="s">
        <v>300</v>
      </c>
      <c r="Y16" s="273">
        <f>Y17-Z17</f>
        <v>0</v>
      </c>
      <c r="Z16" s="269" t="s">
        <v>301</v>
      </c>
      <c r="AA16" s="266"/>
      <c r="AB16" s="268" t="s">
        <v>300</v>
      </c>
      <c r="AC16" s="273" t="e">
        <f ca="1">AC17-AD17</f>
        <v>#N/A</v>
      </c>
      <c r="AD16" s="269" t="s">
        <v>301</v>
      </c>
    </row>
    <row r="17" spans="1:30" s="28" customFormat="1" x14ac:dyDescent="0.25">
      <c r="A17" s="27" t="s">
        <v>48</v>
      </c>
      <c r="B17" s="162">
        <f>IF(Amount_Requested&gt;=Refer_Min,IF(Amount_Requested&lt;=Refer_Max,B16+Refer_Affordability_Perc,B16), B16)</f>
        <v>0</v>
      </c>
      <c r="C17" s="134">
        <f>IF(Amount_Requested&gt;=Refer_Min,IF(Amount_Requested&lt;=Refer_Max,C16+Refer_Affordability_Perc,C16), C16)</f>
        <v>0</v>
      </c>
      <c r="D17" s="134">
        <f>IF(Amount_Requested&gt;=Refer_Min,IF(Amount_Requested&lt;=Refer_Max,D16+Refer_Affordability_Perc,D16), D16)</f>
        <v>0</v>
      </c>
      <c r="E17" s="180">
        <f>IF(Amount_Requested&gt;=Refer_Min,IF(Amount_Requested&lt;=Refer_Max,E16+Refer_Affordability_Perc,E16), E16)</f>
        <v>0</v>
      </c>
      <c r="F17" s="34" t="s">
        <v>258</v>
      </c>
      <c r="H17" s="219" t="s">
        <v>299</v>
      </c>
      <c r="I17" s="225">
        <f>B18-Outgoings</f>
        <v>0</v>
      </c>
      <c r="J17" s="15">
        <f>-(I17-(Amount_Requested*Stress_Rate*30.4/365))*Stress_Rate*30.4/365</f>
        <v>0</v>
      </c>
      <c r="L17" s="219" t="s">
        <v>299</v>
      </c>
      <c r="M17" s="225">
        <f>I17</f>
        <v>0</v>
      </c>
      <c r="N17" s="15" t="e">
        <f ca="1">-(M17-(I15*Stress_Rate*30.4/365))*Stress_Rate*30.4/365</f>
        <v>#VALUE!</v>
      </c>
      <c r="P17" s="219" t="s">
        <v>299</v>
      </c>
      <c r="Q17" s="225" t="e">
        <f ca="1">MIN(B49,B18)-Outgoings</f>
        <v>#N/A</v>
      </c>
      <c r="R17" s="15" t="e">
        <f ca="1">(Q17-(J15*Stress_Rate*30.4/365))*Stress_Rate*30.4/365</f>
        <v>#N/A</v>
      </c>
      <c r="S17" s="217"/>
      <c r="T17" s="219" t="s">
        <v>299</v>
      </c>
      <c r="U17" s="225" t="e">
        <f ca="1">MIN(B49,B18)-Outgoings</f>
        <v>#N/A</v>
      </c>
      <c r="V17" s="15" t="e">
        <f ca="1">-(U17-(Q15*Stress_Rate*30.4/365))*Stress_Rate*30.4/365</f>
        <v>#N/A</v>
      </c>
      <c r="W17" s="217"/>
      <c r="X17" s="219" t="s">
        <v>299</v>
      </c>
      <c r="Y17" s="225">
        <f>B18-Outgoings</f>
        <v>0</v>
      </c>
      <c r="Z17" s="15">
        <f>-(Y17-(Amount_Requested*Stress_Rate*30.4/365))*Stress_Rate*30.4/365</f>
        <v>0</v>
      </c>
      <c r="AA17" s="217"/>
      <c r="AB17" s="219" t="s">
        <v>299</v>
      </c>
      <c r="AC17" s="225">
        <f>B18-Outgoings</f>
        <v>0</v>
      </c>
      <c r="AD17" s="15" t="e">
        <f ca="1">-(AC17-(Y15*Stress_Rate*30.4/365))*Stress_Rate*30.4/365</f>
        <v>#N/A</v>
      </c>
    </row>
    <row r="18" spans="1:30" s="28" customFormat="1" x14ac:dyDescent="0.25">
      <c r="A18" s="139" t="s">
        <v>40</v>
      </c>
      <c r="B18" s="163">
        <f>B16*Income/12</f>
        <v>0</v>
      </c>
      <c r="C18" s="163">
        <f t="shared" ref="C18:E19" si="0">C16*Income/12</f>
        <v>0</v>
      </c>
      <c r="D18" s="163">
        <f t="shared" si="0"/>
        <v>0</v>
      </c>
      <c r="E18" s="181">
        <f t="shared" si="0"/>
        <v>0</v>
      </c>
      <c r="F18" s="156">
        <f>IF(Island="GHA", E18, IF(Amount_Requested&gt;Property_Value*0.9, E18, IF(Amount_Requested&gt;Property_Value*LTV_Affordability/100, D18,  IF(Amount_Requested&gt;Property_Value*'Metrics &amp; Drop Downs'!B49/100, C18, B18))))</f>
        <v>0</v>
      </c>
      <c r="H18" s="217"/>
      <c r="I18" s="217"/>
      <c r="J18" s="217"/>
      <c r="K18" s="217"/>
      <c r="L18" s="217"/>
      <c r="M18" s="217"/>
      <c r="N18" s="217"/>
      <c r="O18" s="217"/>
      <c r="P18" s="217"/>
      <c r="Q18" s="217"/>
      <c r="R18" s="217"/>
      <c r="S18" s="217"/>
      <c r="T18" s="217"/>
      <c r="U18" s="217"/>
      <c r="V18" s="217"/>
      <c r="W18" s="217"/>
      <c r="X18" s="217"/>
      <c r="Y18" s="217"/>
      <c r="Z18" s="221"/>
      <c r="AA18" s="217"/>
      <c r="AB18" s="217"/>
      <c r="AC18" s="217"/>
      <c r="AD18" s="221"/>
    </row>
    <row r="19" spans="1:30" x14ac:dyDescent="0.25">
      <c r="A19" s="13" t="s">
        <v>49</v>
      </c>
      <c r="B19" s="164">
        <f>B17*Income/12</f>
        <v>0</v>
      </c>
      <c r="C19" s="164">
        <f t="shared" si="0"/>
        <v>0</v>
      </c>
      <c r="D19" s="164">
        <f t="shared" si="0"/>
        <v>0</v>
      </c>
      <c r="E19" s="182">
        <f t="shared" si="0"/>
        <v>0</v>
      </c>
      <c r="F19" s="239">
        <f>IF(Island="GHA", E19, IF(Amount_Requested&gt;Property_Value*0.9, E19, IF(Amount_Requested&gt;Property_Value*LTV_Affordability/100, D19,  IF(Amount_Requested&gt;Property_Value*'Metrics &amp; Drop Downs'!B49/100, C19, B19))))</f>
        <v>0</v>
      </c>
      <c r="H19" s="222" t="str">
        <f>"Max AIP C&amp;I Calculator &gt;"&amp;'Metrics &amp; Drop Downs'!B50&amp;"% LTV"</f>
        <v>Max AIP C&amp;I Calculator &gt;85% LTV</v>
      </c>
      <c r="I19" s="214"/>
      <c r="J19" s="215"/>
      <c r="K19" s="217"/>
      <c r="L19" s="222" t="str">
        <f>"Max AIP C&amp;I Calculator &gt;"&amp;'Metrics &amp; Drop Downs'!B50&amp;"% LTV (2nd Iteration)"</f>
        <v>Max AIP C&amp;I Calculator &gt;85% LTV (2nd Iteration)</v>
      </c>
      <c r="M19" s="214"/>
      <c r="N19" s="215"/>
      <c r="O19" s="217"/>
      <c r="P19" s="222" t="str">
        <f>"Max Post Retirement AIP C&amp;I Calculator &gt;"&amp;'Metrics &amp; Drop Downs'!B50&amp;"% LTV"</f>
        <v>Max Post Retirement AIP C&amp;I Calculator &gt;85% LTV</v>
      </c>
      <c r="Q19" s="214"/>
      <c r="R19" s="215"/>
      <c r="S19" s="217"/>
      <c r="T19" s="222" t="str">
        <f>"Max Post Retirement AIP C&amp;I Calculator &gt;"&amp;'Metrics &amp; Drop Downs'!B50&amp;"% LTV (Iteration 2)"</f>
        <v>Max Post Retirement AIP C&amp;I Calculator &gt;85% LTV (Iteration 2)</v>
      </c>
      <c r="U19" s="214"/>
      <c r="V19" s="215"/>
      <c r="W19" s="217"/>
      <c r="X19" s="222" t="s">
        <v>311</v>
      </c>
      <c r="Y19" s="214"/>
      <c r="Z19" s="215"/>
      <c r="AA19" s="217"/>
      <c r="AB19" s="222" t="s">
        <v>312</v>
      </c>
      <c r="AC19" s="214"/>
      <c r="AD19" s="215"/>
    </row>
    <row r="20" spans="1:30" x14ac:dyDescent="0.25">
      <c r="A20" s="202" t="s">
        <v>323</v>
      </c>
      <c r="B20" s="371">
        <f>B18*12/Stress_Rate</f>
        <v>0</v>
      </c>
      <c r="C20" s="371">
        <f>C18*12/Stress_Rate</f>
        <v>0</v>
      </c>
      <c r="D20" s="371">
        <f>D18*12/Stress_Rate</f>
        <v>0</v>
      </c>
      <c r="E20" s="371">
        <f>E18*12/Stress_Rate</f>
        <v>0</v>
      </c>
      <c r="F20" s="371">
        <f>F18*12/Stress_Rate</f>
        <v>0</v>
      </c>
      <c r="H20" s="216"/>
      <c r="I20" s="217"/>
      <c r="J20" s="192" t="s">
        <v>62</v>
      </c>
      <c r="K20" s="217"/>
      <c r="L20" s="216"/>
      <c r="M20" s="217"/>
      <c r="N20" s="192" t="s">
        <v>62</v>
      </c>
      <c r="O20" s="217"/>
      <c r="P20" s="216"/>
      <c r="Q20" s="217"/>
      <c r="R20" s="192" t="s">
        <v>62</v>
      </c>
      <c r="S20" s="217"/>
      <c r="T20" s="216"/>
      <c r="U20" s="217"/>
      <c r="V20" s="192" t="s">
        <v>62</v>
      </c>
      <c r="W20" s="217"/>
      <c r="X20" s="216"/>
      <c r="Y20" s="217"/>
      <c r="Z20" s="192" t="s">
        <v>62</v>
      </c>
      <c r="AA20" s="217"/>
      <c r="AB20" s="216"/>
      <c r="AC20" s="217"/>
      <c r="AD20" s="192" t="s">
        <v>62</v>
      </c>
    </row>
    <row r="21" spans="1:30" x14ac:dyDescent="0.25">
      <c r="H21" s="216" t="s">
        <v>60</v>
      </c>
      <c r="I21" s="266" t="e">
        <f ca="1">I22*((1+Stress_Rate/12)^($C$98*12)-1)/(Stress_Rate/12*(1+Stress_Rate/12)^($C$98*12))</f>
        <v>#VALUE!</v>
      </c>
      <c r="J21" s="267" t="e">
        <f ca="1">ROUNDDOWN(I21, 0)</f>
        <v>#VALUE!</v>
      </c>
      <c r="K21" s="266"/>
      <c r="L21" s="268" t="s">
        <v>60</v>
      </c>
      <c r="M21" s="266" t="e">
        <f ca="1">M22*((1+Stress_Rate/12)^($C$98*12)-1)/(Stress_Rate/12*(1+Stress_Rate/12)^($C$98*12))</f>
        <v>#VALUE!</v>
      </c>
      <c r="N21" s="267" t="e">
        <f ca="1">ROUNDDOWN(M21, -2)</f>
        <v>#VALUE!</v>
      </c>
      <c r="O21" s="266"/>
      <c r="P21" s="268" t="s">
        <v>60</v>
      </c>
      <c r="Q21" s="266" t="e">
        <f ca="1">Q22*((1+Stress_Rate/12)^($C$99*12)-1)/(Stress_Rate/12*(1+Stress_Rate/12)^($C$99*12))</f>
        <v>#N/A</v>
      </c>
      <c r="R21" s="267" t="e">
        <f ca="1">ROUNDDOWN(Q21, -2)</f>
        <v>#N/A</v>
      </c>
      <c r="S21" s="217"/>
      <c r="T21" s="216" t="s">
        <v>60</v>
      </c>
      <c r="U21" s="266" t="e">
        <f ca="1">U22*((1+Stress_Rate/12)^($C$99*12)-1)/(Stress_Rate/12*(1+Stress_Rate/12)^($C$99*12))</f>
        <v>#N/A</v>
      </c>
      <c r="V21" s="267" t="e">
        <f ca="1">ROUNDDOWN(U21, -2)</f>
        <v>#N/A</v>
      </c>
      <c r="W21" s="217"/>
      <c r="X21" s="216" t="s">
        <v>60</v>
      </c>
      <c r="Y21" s="266" t="e">
        <f ca="1">Y22*((1+Stress_Rate/12)^($C$100*12)-1)/(Stress_Rate/12*(1+Stress_Rate/12)^($C$100*12))</f>
        <v>#N/A</v>
      </c>
      <c r="Z21" s="267" t="e">
        <f ca="1">ROUNDDOWN(Y21, -2)</f>
        <v>#N/A</v>
      </c>
      <c r="AA21" s="266"/>
      <c r="AB21" s="268" t="s">
        <v>60</v>
      </c>
      <c r="AC21" s="266" t="e">
        <f ca="1">AC22*((1+Stress_Rate/12)^($C$100*12)-1)/(Stress_Rate/12*(1+Stress_Rate/12)^($C$100*12))</f>
        <v>#N/A</v>
      </c>
      <c r="AD21" s="267" t="e">
        <f ca="1">ROUNDDOWN(AC21, -2)</f>
        <v>#N/A</v>
      </c>
    </row>
    <row r="22" spans="1:30" x14ac:dyDescent="0.25">
      <c r="A22" s="25" t="s">
        <v>52</v>
      </c>
      <c r="B22" s="281" t="s">
        <v>58</v>
      </c>
      <c r="C22" s="281" t="str">
        <f>"&gt;"&amp;'Metrics &amp; Drop Downs'!B49&amp;"% LTV"</f>
        <v>&gt;70% LTV</v>
      </c>
      <c r="D22" s="26" t="str">
        <f>"&gt;"&amp;'Metrics &amp; Drop Downs'!B50&amp;"% LTV"</f>
        <v>&gt;85% LTV</v>
      </c>
      <c r="E22" s="26" t="s">
        <v>147</v>
      </c>
      <c r="F22" s="40" t="s">
        <v>59</v>
      </c>
      <c r="H22" s="216" t="s">
        <v>300</v>
      </c>
      <c r="I22" s="273">
        <f>I23-J23</f>
        <v>0</v>
      </c>
      <c r="J22" s="269" t="s">
        <v>301</v>
      </c>
      <c r="K22" s="266"/>
      <c r="L22" s="268" t="s">
        <v>300</v>
      </c>
      <c r="M22" s="273" t="e">
        <f ca="1">M23-N23</f>
        <v>#VALUE!</v>
      </c>
      <c r="N22" s="269" t="s">
        <v>301</v>
      </c>
      <c r="O22" s="266"/>
      <c r="P22" s="268" t="s">
        <v>300</v>
      </c>
      <c r="Q22" s="266" t="e">
        <f ca="1">SUM(Q23:R23)</f>
        <v>#N/A</v>
      </c>
      <c r="R22" s="269" t="s">
        <v>301</v>
      </c>
      <c r="S22" s="217"/>
      <c r="T22" s="216" t="s">
        <v>300</v>
      </c>
      <c r="U22" s="266" t="e">
        <f ca="1">U23-V23</f>
        <v>#N/A</v>
      </c>
      <c r="V22" s="269" t="s">
        <v>301</v>
      </c>
      <c r="W22" s="217"/>
      <c r="X22" s="216" t="s">
        <v>300</v>
      </c>
      <c r="Y22" s="273">
        <f>Y23-Z23</f>
        <v>0</v>
      </c>
      <c r="Z22" s="269" t="s">
        <v>301</v>
      </c>
      <c r="AA22" s="266"/>
      <c r="AB22" s="268" t="s">
        <v>300</v>
      </c>
      <c r="AC22" s="273" t="e">
        <f ca="1">AC23-AD23</f>
        <v>#N/A</v>
      </c>
      <c r="AD22" s="269" t="s">
        <v>301</v>
      </c>
    </row>
    <row r="23" spans="1:30" x14ac:dyDescent="0.25">
      <c r="A23" s="139" t="s">
        <v>54</v>
      </c>
      <c r="B23" s="10" t="e">
        <f ca="1">IF(Buy_to_Let="Yes", IF(C81="no", "", (Rent_mth/BTL_Affordability)*12/Stress_Rate),  IF('AIP Indicator'!F31="Yes", B20, N15))</f>
        <v>#VALUE!</v>
      </c>
      <c r="C23" s="183" t="e">
        <f ca="1">IF(Buy_to_Let="Yes", "", IF('AIP Indicator'!F31="Yes", C20, N34))</f>
        <v>#VALUE!</v>
      </c>
      <c r="D23" s="183" t="e">
        <f ca="1">IF(Buy_to_Let="Yes", "", IF('AIP Indicator'!F31="Yes", D20, N21))</f>
        <v>#VALUE!</v>
      </c>
      <c r="E23" s="183" t="str">
        <f>IF(Island="GHA",N28,IF(Remortgage_Purchase="Remortgage", "", IF(Buy_to_Let="Yes", "",IF('AIP Indicator'!F31="Yes", "", IF(Direct="Broker","",N28)))))</f>
        <v/>
      </c>
      <c r="F23" s="21" t="e">
        <f ca="1">IF(Buy_to_Let="Yes",(Rent_mth/BTL_Affordability)*12/Stress_Rate,IF('AIP Indicator'!F31="Yes", F20, J4))</f>
        <v>#VALUE!</v>
      </c>
      <c r="H23" s="219" t="s">
        <v>299</v>
      </c>
      <c r="I23" s="225">
        <f>D18-Outgoings</f>
        <v>0</v>
      </c>
      <c r="J23" s="15">
        <f>-(I23-(Amount_Requested*Stress_Rate*30.4/365))*Stress_Rate*30.4/365</f>
        <v>0</v>
      </c>
      <c r="K23" s="217"/>
      <c r="L23" s="219" t="s">
        <v>299</v>
      </c>
      <c r="M23" s="225">
        <f>D18-Outgoings</f>
        <v>0</v>
      </c>
      <c r="N23" s="15" t="e">
        <f ca="1">-(M23-(I21*Stress_Rate*30.4/365))*Stress_Rate*30.4/365</f>
        <v>#VALUE!</v>
      </c>
      <c r="O23" s="217"/>
      <c r="P23" s="219" t="s">
        <v>299</v>
      </c>
      <c r="Q23" s="225" t="e">
        <f ca="1">MIN(D18,D49)-Outgoings</f>
        <v>#N/A</v>
      </c>
      <c r="R23" s="15" t="e">
        <f ca="1">-(Q23-(N21*Stress_Rate*30.4/365))*Stress_Rate*30.4/365</f>
        <v>#N/A</v>
      </c>
      <c r="S23" s="217"/>
      <c r="T23" s="219" t="s">
        <v>299</v>
      </c>
      <c r="U23" s="225" t="e">
        <f ca="1">MIN(D18,D49)-Outgoings</f>
        <v>#N/A</v>
      </c>
      <c r="V23" s="15" t="e">
        <f ca="1">-(U23-(Q21*Stress_Rate*30.4/365))*Stress_Rate*30.4/365</f>
        <v>#N/A</v>
      </c>
      <c r="W23" s="217"/>
      <c r="X23" s="219" t="s">
        <v>299</v>
      </c>
      <c r="Y23" s="225">
        <f>D18-Outgoings</f>
        <v>0</v>
      </c>
      <c r="Z23" s="15">
        <f>-(Y23-(Amount_Requested*Stress_Rate*30.4/365))*Stress_Rate*30.4/365</f>
        <v>0</v>
      </c>
      <c r="AA23" s="217"/>
      <c r="AB23" s="219" t="s">
        <v>299</v>
      </c>
      <c r="AC23" s="225">
        <f>D18-Outgoings</f>
        <v>0</v>
      </c>
      <c r="AD23" s="15" t="e">
        <f ca="1">-(AC23-(Y21*Stress_Rate*30.4/365))*Stress_Rate*30.4/365</f>
        <v>#N/A</v>
      </c>
    </row>
    <row r="24" spans="1:30" x14ac:dyDescent="0.25">
      <c r="A24" s="139" t="s">
        <v>120</v>
      </c>
      <c r="B24" s="10" t="str">
        <f>IF(Buy_to_Let="Yes", "", IF(B11="Sole", "", V15))</f>
        <v/>
      </c>
      <c r="C24" s="201" t="str">
        <f>IF(Buy_to_Let="Yes", "", IF(B11="Sole", "", V34))</f>
        <v/>
      </c>
      <c r="D24" s="183" t="str">
        <f>IF(Buy_to_Let="Yes", "", IF(B11="Sole", "", V21))</f>
        <v/>
      </c>
      <c r="E24" s="183" t="str">
        <f>IF(Island="GHA",N28,IF(Remortgage_Purchase="Remortgage", "", IF(Buy_to_Let="Yes", "", IF(B11="Sole", "", IF('AIP Indicator'!F31="Yes", "", IF(Direct="Broker","", V28))))))</f>
        <v/>
      </c>
      <c r="F24" s="21" t="str">
        <f>IF(Buy_to_Let="", "", IF(B11="Sole", "", N4))</f>
        <v/>
      </c>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row>
    <row r="25" spans="1:30" s="155" customFormat="1" x14ac:dyDescent="0.25">
      <c r="A25" s="216" t="s">
        <v>309</v>
      </c>
      <c r="B25" s="201" t="e">
        <f ca="1">IF(Buy_to_Let="Yes", "", AD15)</f>
        <v>#N/A</v>
      </c>
      <c r="C25" s="183" t="e">
        <f ca="1">IF(Buy_to_Let="Yes","",AD34)</f>
        <v>#N/A</v>
      </c>
      <c r="D25" s="183" t="e">
        <f ca="1">IF(Buy_to_Let="Yes", "", AD21)</f>
        <v>#N/A</v>
      </c>
      <c r="E25" s="183" t="e">
        <f ca="1">IF(Buy_to_Let="Yes", "", AD28)</f>
        <v>#N/A</v>
      </c>
      <c r="F25" s="21"/>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row>
    <row r="26" spans="1:30" x14ac:dyDescent="0.25">
      <c r="A26" s="139" t="s">
        <v>123</v>
      </c>
      <c r="B26" s="10" t="e">
        <f ca="1">MAX(B23:B25)</f>
        <v>#VALUE!</v>
      </c>
      <c r="C26" s="201" t="e">
        <f ca="1">MAX(C23:C25)</f>
        <v>#VALUE!</v>
      </c>
      <c r="D26" s="201" t="e">
        <f ca="1">MAX(D23:D25)</f>
        <v>#VALUE!</v>
      </c>
      <c r="E26" s="183">
        <f>IF(MAX(E23:E24)&lt;0, 0, MAX(E23:E24))</f>
        <v>0</v>
      </c>
      <c r="F26" s="21" t="e">
        <f ca="1">MAX(F23:F24)</f>
        <v>#VALUE!</v>
      </c>
      <c r="H26" s="222" t="s">
        <v>250</v>
      </c>
      <c r="I26" s="214"/>
      <c r="J26" s="215"/>
      <c r="K26" s="217"/>
      <c r="L26" s="222" t="s">
        <v>251</v>
      </c>
      <c r="M26" s="214"/>
      <c r="N26" s="215"/>
      <c r="O26" s="217"/>
      <c r="P26" s="222" t="s">
        <v>252</v>
      </c>
      <c r="Q26" s="214"/>
      <c r="R26" s="215"/>
      <c r="S26" s="217"/>
      <c r="T26" s="222" t="s">
        <v>280</v>
      </c>
      <c r="U26" s="214"/>
      <c r="V26" s="215"/>
      <c r="W26" s="217"/>
      <c r="X26" s="222" t="s">
        <v>313</v>
      </c>
      <c r="Y26" s="214"/>
      <c r="Z26" s="215"/>
      <c r="AA26" s="217"/>
      <c r="AB26" s="222" t="s">
        <v>314</v>
      </c>
      <c r="AC26" s="214"/>
      <c r="AD26" s="215"/>
    </row>
    <row r="27" spans="1:30" x14ac:dyDescent="0.25">
      <c r="A27" s="139" t="s">
        <v>53</v>
      </c>
      <c r="B27" s="183"/>
      <c r="C27" s="183">
        <f>IF(Buy_to_Let="Yes", "", IF(Remortgage_Purchase="Purchase", Deposit/(1-LTV_Affordability/100)*LTV_Affordability/100, Property_Value*MIN(LTV_Affordability/100, Overall_Max_LTV)))</f>
        <v>0</v>
      </c>
      <c r="D27" s="183">
        <f>IF(Buy_to_Let="Yes", "", IF(Remortgage_Purchase="Purchase", Deposit/0.1*0.9, Property_Value*MIN(0.9, Overall_Max_LTV)))</f>
        <v>0</v>
      </c>
      <c r="E27" s="201" t="str">
        <f>IF(Buy_to_Let="Yes", "",IF(Remortgage_Purchase="Purchase", "", Property_Value))</f>
        <v/>
      </c>
      <c r="F27" s="21" t="e">
        <f ca="1">(Overall_Max_LTV+Refer_LTV_Perc)*IF(Remortgage_Purchase="Purchase", Max_AIP_Available+Deposit, Property_Value)</f>
        <v>#VALUE!</v>
      </c>
      <c r="H27" s="216"/>
      <c r="I27" s="217"/>
      <c r="J27" s="192" t="s">
        <v>62</v>
      </c>
      <c r="K27" s="217"/>
      <c r="L27" s="216"/>
      <c r="M27" s="217"/>
      <c r="N27" s="192" t="s">
        <v>62</v>
      </c>
      <c r="O27" s="217"/>
      <c r="P27" s="216"/>
      <c r="Q27" s="217"/>
      <c r="R27" s="192" t="s">
        <v>62</v>
      </c>
      <c r="S27" s="217"/>
      <c r="T27" s="216"/>
      <c r="U27" s="217"/>
      <c r="V27" s="192" t="s">
        <v>62</v>
      </c>
      <c r="W27" s="217"/>
      <c r="X27" s="216"/>
      <c r="Y27" s="217"/>
      <c r="Z27" s="192" t="s">
        <v>62</v>
      </c>
      <c r="AA27" s="217"/>
      <c r="AB27" s="216"/>
      <c r="AC27" s="217"/>
      <c r="AD27" s="192" t="s">
        <v>62</v>
      </c>
    </row>
    <row r="28" spans="1:30" x14ac:dyDescent="0.25">
      <c r="A28" s="202" t="s">
        <v>265</v>
      </c>
      <c r="B28" s="183">
        <f>IF(Buy_to_Let="Yes",IF(Remortgage_Purchase="Remortgage",MAX(D39:D40), MAX(C39:C40)),IF(Remortgage_Purchase="Remortgage",MAX(D36:D38),MAX(C36:C38)))</f>
        <v>0</v>
      </c>
      <c r="C28" s="183">
        <f>IF(Buy_to_Let="Yes","",IF(Remortgage_Purchase="Remortgage",VLOOKUP(Property_Value*LTV_Affordability/100,'Metrics &amp; Drop Downs'!A84:C89,3,TRUE)*Property_Value,C36))</f>
        <v>0</v>
      </c>
      <c r="D28" s="183">
        <f>IF(Buy_to_Let="Yes","",IF(Remortgage_Purchase="Remortgage",VLOOKUP(Property_Value*0.9,'Metrics &amp; Drop Downs'!A84:C89,3,TRUE)*Property_Value,C35))</f>
        <v>0</v>
      </c>
      <c r="E28" s="201"/>
      <c r="F28" s="140"/>
      <c r="H28" s="216" t="s">
        <v>60</v>
      </c>
      <c r="I28" s="266" t="e">
        <f ca="1">I29*((1+Stress_Rate/12)^($C$98*12)-1)/(Stress_Rate/12*(1+Stress_Rate/12)^($C$98*12))</f>
        <v>#VALUE!</v>
      </c>
      <c r="J28" s="267" t="e">
        <f ca="1">ROUNDDOWN(I28, 0)</f>
        <v>#VALUE!</v>
      </c>
      <c r="K28" s="266"/>
      <c r="L28" s="268" t="s">
        <v>60</v>
      </c>
      <c r="M28" s="266" t="e">
        <f ca="1">M29*((1+Stress_Rate/12)^($C$98*12)-1)/(Stress_Rate/12*(1+Stress_Rate/12)^($C$98*12))</f>
        <v>#VALUE!</v>
      </c>
      <c r="N28" s="267" t="e">
        <f ca="1">ROUNDDOWN(M28, -2)</f>
        <v>#VALUE!</v>
      </c>
      <c r="O28" s="266"/>
      <c r="P28" s="268" t="s">
        <v>60</v>
      </c>
      <c r="Q28" s="266" t="e">
        <f ca="1">Q29*((1+Stress_Rate/12)^($C$99*12)-1)/(Stress_Rate/12*(1+Stress_Rate/12)^($C$99*12))</f>
        <v>#N/A</v>
      </c>
      <c r="R28" s="267" t="e">
        <f ca="1">ROUNDDOWN(Q28, -2)</f>
        <v>#N/A</v>
      </c>
      <c r="S28" s="217"/>
      <c r="T28" s="216" t="s">
        <v>60</v>
      </c>
      <c r="U28" s="217" t="e">
        <f ca="1">U29*((1+Stress_Rate/12)^($C$99*12)-1)/(Stress_Rate/12*(1+Stress_Rate/12)^($C$99*12))</f>
        <v>#N/A</v>
      </c>
      <c r="V28" s="160" t="e">
        <f ca="1">ROUNDDOWN(U28, -2)</f>
        <v>#N/A</v>
      </c>
      <c r="W28" s="217"/>
      <c r="X28" s="216" t="s">
        <v>60</v>
      </c>
      <c r="Y28" s="266" t="e">
        <f ca="1">Y29*((1+Stress_Rate/12)^($C$100*12)-1)/(Stress_Rate/12*(1+Stress_Rate/12)^($C$100*12))</f>
        <v>#N/A</v>
      </c>
      <c r="Z28" s="267" t="e">
        <f ca="1">ROUNDDOWN(Y28, -2)</f>
        <v>#N/A</v>
      </c>
      <c r="AA28" s="266"/>
      <c r="AB28" s="268" t="s">
        <v>60</v>
      </c>
      <c r="AC28" s="266" t="e">
        <f ca="1">AC29*((1+Stress_Rate/12)^($C$100*12)-1)/(Stress_Rate/12*(1+Stress_Rate/12)^($C$100*12))</f>
        <v>#N/A</v>
      </c>
      <c r="AD28" s="267" t="e">
        <f ca="1">ROUNDDOWN(AC28, -2)</f>
        <v>#N/A</v>
      </c>
    </row>
    <row r="29" spans="1:30" x14ac:dyDescent="0.25">
      <c r="A29" s="139" t="s">
        <v>55</v>
      </c>
      <c r="B29" s="183">
        <f>General_Max_Loan</f>
        <v>3000000</v>
      </c>
      <c r="C29" s="183">
        <f>General_Max_Loan</f>
        <v>3000000</v>
      </c>
      <c r="D29" s="183">
        <f>General_Max_Loan</f>
        <v>3000000</v>
      </c>
      <c r="E29" s="183">
        <f>Next_Generation_Max_Loan</f>
        <v>500000</v>
      </c>
      <c r="F29" s="21">
        <f>B29</f>
        <v>3000000</v>
      </c>
      <c r="H29" s="216" t="s">
        <v>300</v>
      </c>
      <c r="I29" s="273">
        <f>I30-J30</f>
        <v>0</v>
      </c>
      <c r="J29" s="269" t="s">
        <v>301</v>
      </c>
      <c r="K29" s="266"/>
      <c r="L29" s="268" t="s">
        <v>300</v>
      </c>
      <c r="M29" s="273" t="e">
        <f ca="1">M30-N30</f>
        <v>#VALUE!</v>
      </c>
      <c r="N29" s="269" t="s">
        <v>301</v>
      </c>
      <c r="O29" s="266"/>
      <c r="P29" s="268" t="s">
        <v>300</v>
      </c>
      <c r="Q29" s="266" t="e">
        <f ca="1">SUM(Q30:R30)</f>
        <v>#N/A</v>
      </c>
      <c r="R29" s="269" t="s">
        <v>301</v>
      </c>
      <c r="S29" s="217"/>
      <c r="T29" s="216" t="s">
        <v>300</v>
      </c>
      <c r="U29" s="223" t="e">
        <f ca="1">U30-V30</f>
        <v>#N/A</v>
      </c>
      <c r="V29" s="192" t="s">
        <v>301</v>
      </c>
      <c r="W29" s="217"/>
      <c r="X29" s="216" t="s">
        <v>300</v>
      </c>
      <c r="Y29" s="273">
        <f>Y30-Z30</f>
        <v>0</v>
      </c>
      <c r="Z29" s="269" t="s">
        <v>301</v>
      </c>
      <c r="AA29" s="266"/>
      <c r="AB29" s="268" t="s">
        <v>300</v>
      </c>
      <c r="AC29" s="273" t="e">
        <f ca="1">AC30-AD30</f>
        <v>#N/A</v>
      </c>
      <c r="AD29" s="269" t="s">
        <v>301</v>
      </c>
    </row>
    <row r="30" spans="1:30" x14ac:dyDescent="0.25">
      <c r="A30" s="13" t="s">
        <v>56</v>
      </c>
      <c r="B30" s="35" t="e">
        <f ca="1">TRUNC(MAX(MIN(B26:B28), C30, D30, E30), 0)</f>
        <v>#VALUE!</v>
      </c>
      <c r="C30" s="184" t="e">
        <f ca="1">MIN(C26:C29)</f>
        <v>#VALUE!</v>
      </c>
      <c r="D30" s="184" t="e">
        <f ca="1">MIN(D26:D29)</f>
        <v>#VALUE!</v>
      </c>
      <c r="E30" s="211">
        <f>IF(Remortgage_Purchase="Remortgage", 0, IF(Deposit=0, MIN(E26:E29), IF('Metrics &amp; Drop Downs'!B30="Yes",IF(MIN(E26:E29)/(MIN(E26:E29)+Deposit)&lt;0.9,"",MIN(E26:E29)),0)))</f>
        <v>0</v>
      </c>
      <c r="F30" s="41" t="e">
        <f ca="1">IF(B30&gt;=Refer_Min, IF(Amount_Requested&lt;=Refer_Max, MIN(F26:F29)-100), B30)</f>
        <v>#VALUE!</v>
      </c>
      <c r="H30" s="219" t="s">
        <v>299</v>
      </c>
      <c r="I30" s="225">
        <f>E18-Outgoings</f>
        <v>0</v>
      </c>
      <c r="J30" s="15">
        <f>-(I30-(Amount_Requested*Stress_Rate*30.4/365))*Stress_Rate*30.4/365</f>
        <v>0</v>
      </c>
      <c r="K30" s="217"/>
      <c r="L30" s="219" t="s">
        <v>299</v>
      </c>
      <c r="M30" s="225">
        <f>E18-Outgoings</f>
        <v>0</v>
      </c>
      <c r="N30" s="15" t="e">
        <f ca="1">-(M30-(J28*Stress_Rate*30.4/365))*Stress_Rate*30.4/365</f>
        <v>#VALUE!</v>
      </c>
      <c r="O30" s="217"/>
      <c r="P30" s="219" t="s">
        <v>299</v>
      </c>
      <c r="Q30" s="225" t="e">
        <f ca="1">MIN(E18,E49)-Outgoings</f>
        <v>#N/A</v>
      </c>
      <c r="R30" s="15" t="e">
        <f ca="1">-(Q30-(N28*Stress_Rate*30.4/365))*Stress_Rate*30.4/365</f>
        <v>#N/A</v>
      </c>
      <c r="S30" s="217"/>
      <c r="T30" s="219" t="s">
        <v>299</v>
      </c>
      <c r="U30" s="225" t="e">
        <f ca="1">MIN(E18,E49)-Outgoings</f>
        <v>#N/A</v>
      </c>
      <c r="V30" s="15" t="e">
        <f ca="1">-(U30-(Q28*Stress_Rate*30.4/365))*Stress_Rate*30.4/365</f>
        <v>#N/A</v>
      </c>
      <c r="W30" s="217"/>
      <c r="X30" s="219" t="s">
        <v>299</v>
      </c>
      <c r="Y30" s="225">
        <f>E18-Outgoings</f>
        <v>0</v>
      </c>
      <c r="Z30" s="15">
        <f>-(Y30-(Amount_Requested*Stress_Rate*30.4/365))*Stress_Rate*30.4/365</f>
        <v>0</v>
      </c>
      <c r="AA30" s="217"/>
      <c r="AB30" s="219" t="s">
        <v>299</v>
      </c>
      <c r="AC30" s="225">
        <f>E18-Outgoings</f>
        <v>0</v>
      </c>
      <c r="AD30" s="15" t="e">
        <f ca="1">-(AC30-(Y28*Stress_Rate*30.4/365))*Stress_Rate*30.4/365</f>
        <v>#N/A</v>
      </c>
    </row>
    <row r="31" spans="1:30" x14ac:dyDescent="0.25">
      <c r="A31" s="202" t="s">
        <v>57</v>
      </c>
      <c r="B31" s="161" t="e">
        <f ca="1">IF(Island="Jersey", IF(B30&lt;Jsy_Min_Valuation, 0, B30),IF(Island="GHA", IF(B30&lt;GHA_Min_Valuation, 0, MIN(E26, Property_Value*0.8)), IF(B30&lt;Gsy_Min_Valuation, 0,B30)))</f>
        <v>#VALUE!</v>
      </c>
    </row>
    <row r="32" spans="1:30" x14ac:dyDescent="0.25">
      <c r="A32" s="143"/>
      <c r="B32" s="143"/>
      <c r="C32" s="210"/>
      <c r="D32" s="210"/>
      <c r="E32" s="210"/>
      <c r="H32" s="222" t="str">
        <f>"Max AIP C&amp;I Calculator &gt;"&amp;'Metrics &amp; Drop Downs'!B49&amp;"% LTV"</f>
        <v>Max AIP C&amp;I Calculator &gt;70% LTV</v>
      </c>
      <c r="I32" s="214"/>
      <c r="J32" s="215"/>
      <c r="K32" s="217"/>
      <c r="L32" s="222" t="str">
        <f>"Max AIP C&amp;I Calculator &gt;"&amp;'Metrics &amp; Drop Downs'!B49&amp;"% LTV (2nd Iteration)"</f>
        <v>Max AIP C&amp;I Calculator &gt;70% LTV (2nd Iteration)</v>
      </c>
      <c r="M32" s="214"/>
      <c r="N32" s="215"/>
      <c r="O32" s="217"/>
      <c r="P32" s="222" t="str">
        <f>"Max Post Retirement AIP C&amp;I Calculator &gt;"&amp;'Metrics &amp; Drop Downs'!B49&amp;"% LTV"</f>
        <v>Max Post Retirement AIP C&amp;I Calculator &gt;70% LTV</v>
      </c>
      <c r="Q32" s="214"/>
      <c r="R32" s="215"/>
      <c r="S32" s="217"/>
      <c r="T32" s="222" t="str">
        <f>"Max Post Retirement AIP C&amp;I Calculator &gt;"&amp;'Metrics &amp; Drop Downs'!B49&amp;"% LTV (Iteration 2)"</f>
        <v>Max Post Retirement AIP C&amp;I Calculator &gt;70% LTV (Iteration 2)</v>
      </c>
      <c r="U32" s="214"/>
      <c r="V32" s="215"/>
      <c r="X32" s="222" t="s">
        <v>315</v>
      </c>
      <c r="Y32" s="214"/>
      <c r="Z32" s="215"/>
      <c r="AA32" s="217"/>
      <c r="AB32" s="222" t="s">
        <v>316</v>
      </c>
      <c r="AC32" s="214"/>
      <c r="AD32" s="215"/>
    </row>
    <row r="33" spans="1:30" x14ac:dyDescent="0.25">
      <c r="A33" s="226" t="s">
        <v>281</v>
      </c>
      <c r="B33" s="276" t="e">
        <f ca="1">VLOOKUP(B26,'Metrics &amp; Drop Downs'!A84:C89,3,TRUE)</f>
        <v>#VALUE!</v>
      </c>
      <c r="C33" s="229" t="e">
        <f ca="1">VLOOKUP(C26,'Metrics &amp; Drop Downs'!A84:C89,3,TRUE)</f>
        <v>#VALUE!</v>
      </c>
      <c r="D33" s="229" t="e">
        <f ca="1">VLOOKUP(D26,'Metrics &amp; Drop Downs'!A84:C89,3,TRUE)</f>
        <v>#VALUE!</v>
      </c>
      <c r="E33" s="143"/>
      <c r="H33" s="216"/>
      <c r="I33" s="217"/>
      <c r="J33" s="192" t="s">
        <v>62</v>
      </c>
      <c r="K33" s="217"/>
      <c r="L33" s="216"/>
      <c r="M33" s="217"/>
      <c r="N33" s="192" t="s">
        <v>62</v>
      </c>
      <c r="O33" s="217"/>
      <c r="P33" s="216"/>
      <c r="Q33" s="217"/>
      <c r="R33" s="192" t="s">
        <v>62</v>
      </c>
      <c r="S33" s="217"/>
      <c r="T33" s="216"/>
      <c r="U33" s="217"/>
      <c r="V33" s="192" t="s">
        <v>62</v>
      </c>
      <c r="W33" s="217"/>
      <c r="X33" s="216"/>
      <c r="Y33" s="217"/>
      <c r="Z33" s="192" t="s">
        <v>62</v>
      </c>
      <c r="AA33" s="217"/>
      <c r="AB33" s="216"/>
      <c r="AC33" s="217"/>
      <c r="AD33" s="192" t="s">
        <v>62</v>
      </c>
    </row>
    <row r="34" spans="1:30" x14ac:dyDescent="0.25">
      <c r="A34" s="226" t="s">
        <v>282</v>
      </c>
      <c r="B34" s="276">
        <f>VLOOKUP(Deposit/(1-LTV_Affordability/100)*LTV_Affordability/100,'Metrics &amp; Drop Downs'!A84:C89,3,TRUE)</f>
        <v>0.9</v>
      </c>
      <c r="C34" s="229">
        <f>VLOOKUP(Deposit/(1-LTV_Affordability/100)*LTV_Affordability/100,'Metrics &amp; Drop Downs'!A84:C89,3,TRUE)</f>
        <v>0.9</v>
      </c>
      <c r="D34" s="229">
        <f>VLOOKUP(Deposit/0.1*0.9,'Metrics &amp; Drop Downs'!A84:C89,3,TRUE)</f>
        <v>0.9</v>
      </c>
      <c r="E34" s="210"/>
      <c r="H34" s="216" t="s">
        <v>60</v>
      </c>
      <c r="I34" s="266" t="e">
        <f ca="1">I35*((1+Stress_Rate/12)^($C$98*12)-1)/(Stress_Rate/12*(1+Stress_Rate/12)^($C$98*12))</f>
        <v>#VALUE!</v>
      </c>
      <c r="J34" s="267" t="e">
        <f ca="1">ROUNDDOWN(I34, 0)</f>
        <v>#VALUE!</v>
      </c>
      <c r="K34" s="266"/>
      <c r="L34" s="268" t="s">
        <v>60</v>
      </c>
      <c r="M34" s="266" t="e">
        <f ca="1">M35*((1+Stress_Rate/12)^($C$98*12)-1)/(Stress_Rate/12*(1+Stress_Rate/12)^($C$98*12))</f>
        <v>#VALUE!</v>
      </c>
      <c r="N34" s="267" t="e">
        <f ca="1">ROUNDDOWN(M34, -2)</f>
        <v>#VALUE!</v>
      </c>
      <c r="O34" s="266"/>
      <c r="P34" s="268" t="s">
        <v>60</v>
      </c>
      <c r="Q34" s="266" t="e">
        <f ca="1">Q35*((1+Stress_Rate/12)^($C$99*12)-1)/(Stress_Rate/12*(1+Stress_Rate/12)^($C$99*12))</f>
        <v>#N/A</v>
      </c>
      <c r="R34" s="267" t="e">
        <f ca="1">ROUNDDOWN(Q34, -2)</f>
        <v>#N/A</v>
      </c>
      <c r="S34" s="217"/>
      <c r="T34" s="216" t="s">
        <v>60</v>
      </c>
      <c r="U34" s="266" t="e">
        <f ca="1">U35*((1+Stress_Rate/12)^($C$99*12)-1)/(Stress_Rate/12*(1+Stress_Rate/12)^($C$99*12))</f>
        <v>#N/A</v>
      </c>
      <c r="V34" s="267" t="e">
        <f ca="1">ROUNDDOWN(U34, -2)</f>
        <v>#N/A</v>
      </c>
      <c r="W34" s="217"/>
      <c r="X34" s="216" t="s">
        <v>60</v>
      </c>
      <c r="Y34" s="266" t="e">
        <f ca="1">Y35*((1+Stress_Rate/12)^($C$100*12)-1)/(Stress_Rate/12*(1+Stress_Rate/12)^($C$100*12))</f>
        <v>#N/A</v>
      </c>
      <c r="Z34" s="267" t="e">
        <f ca="1">ROUNDDOWN(Y34, -2)</f>
        <v>#N/A</v>
      </c>
      <c r="AA34" s="266"/>
      <c r="AB34" s="268" t="s">
        <v>60</v>
      </c>
      <c r="AC34" s="266" t="e">
        <f ca="1">AC35*((1+Stress_Rate/12)^($C$100*12)-1)/(Stress_Rate/12*(1+Stress_Rate/12)^($C$100*12))</f>
        <v>#N/A</v>
      </c>
      <c r="AD34" s="267" t="e">
        <f ca="1">ROUNDDOWN(AC34, -2)</f>
        <v>#N/A</v>
      </c>
    </row>
    <row r="35" spans="1:30" x14ac:dyDescent="0.25">
      <c r="A35" s="226" t="s">
        <v>283</v>
      </c>
      <c r="B35" s="239"/>
      <c r="C35" s="210">
        <f>IF((('Metrics &amp; Drop Downs'!A86-1)/'Metrics &amp; Drop Downs'!C85-Deposit)/(('Metrics &amp; Drop Downs'!A86-1)/'Metrics &amp; Drop Downs'!C85)&gt;'Metrics &amp; Drop Downs'!C85,  Deposit/(1-'Metrics &amp; Drop Downs'!C85)-Deposit, 'Metrics &amp; Drop Downs'!A86-1)</f>
        <v>0</v>
      </c>
      <c r="D35" s="183">
        <f>IF(Property_Value*'Metrics &amp; Drop Downs'!C85&gt;'Metrics &amp; Drop Downs'!A86-1, 'Metrics &amp; Drop Downs'!A86-1, Property_Value*'Metrics &amp; Drop Downs'!C85)</f>
        <v>0</v>
      </c>
      <c r="E35" s="143"/>
      <c r="H35" s="216" t="s">
        <v>300</v>
      </c>
      <c r="I35" s="273">
        <f>I36-J36</f>
        <v>0</v>
      </c>
      <c r="J35" s="269" t="s">
        <v>301</v>
      </c>
      <c r="K35" s="266"/>
      <c r="L35" s="268" t="s">
        <v>300</v>
      </c>
      <c r="M35" s="273" t="e">
        <f ca="1">M36-N36</f>
        <v>#VALUE!</v>
      </c>
      <c r="N35" s="269" t="s">
        <v>301</v>
      </c>
      <c r="O35" s="266"/>
      <c r="P35" s="268" t="s">
        <v>300</v>
      </c>
      <c r="Q35" s="266" t="e">
        <f ca="1">SUM(Q36:R36)</f>
        <v>#N/A</v>
      </c>
      <c r="R35" s="269" t="s">
        <v>301</v>
      </c>
      <c r="S35" s="217"/>
      <c r="T35" s="216" t="s">
        <v>300</v>
      </c>
      <c r="U35" s="266" t="e">
        <f ca="1">U36-V36</f>
        <v>#N/A</v>
      </c>
      <c r="V35" s="269" t="s">
        <v>301</v>
      </c>
      <c r="W35" s="217"/>
      <c r="X35" s="216" t="s">
        <v>300</v>
      </c>
      <c r="Y35" s="273">
        <f>Y36-Z36</f>
        <v>0</v>
      </c>
      <c r="Z35" s="269" t="s">
        <v>301</v>
      </c>
      <c r="AA35" s="266"/>
      <c r="AB35" s="268" t="s">
        <v>300</v>
      </c>
      <c r="AC35" s="273" t="e">
        <f ca="1">AC36-AD36</f>
        <v>#N/A</v>
      </c>
      <c r="AD35" s="269" t="s">
        <v>301</v>
      </c>
    </row>
    <row r="36" spans="1:30" x14ac:dyDescent="0.25">
      <c r="A36" s="226" t="s">
        <v>284</v>
      </c>
      <c r="B36" s="239"/>
      <c r="C36" s="210">
        <f>IF((('Metrics &amp; Drop Downs'!A87-1)/'Metrics &amp; Drop Downs'!C86-Deposit)/(('Metrics &amp; Drop Downs'!A87-1)/'Metrics &amp; Drop Downs'!C86)&gt;'Metrics &amp; Drop Downs'!C86,  Deposit/(1-'Metrics &amp; Drop Downs'!C86)-Deposit, 'Metrics &amp; Drop Downs'!A87-1)</f>
        <v>0</v>
      </c>
      <c r="D36" s="183">
        <f>IF(Property_Value*'Metrics &amp; Drop Downs'!C86&gt;'Metrics &amp; Drop Downs'!A87-1, 'Metrics &amp; Drop Downs'!A87-1, Property_Value*'Metrics &amp; Drop Downs'!C86)</f>
        <v>0</v>
      </c>
      <c r="H36" s="219" t="s">
        <v>299</v>
      </c>
      <c r="I36" s="225">
        <f>C18-Outgoings</f>
        <v>0</v>
      </c>
      <c r="J36" s="15">
        <f>-(I36-(Amount_Requested*Stress_Rate*30.4/365))*Stress_Rate*30.4/365</f>
        <v>0</v>
      </c>
      <c r="K36" s="217"/>
      <c r="L36" s="219" t="s">
        <v>299</v>
      </c>
      <c r="M36" s="225">
        <f>C18-Outgoings</f>
        <v>0</v>
      </c>
      <c r="N36" s="15" t="e">
        <f ca="1">-(M36-(I34*Stress_Rate*30.4/365))*Stress_Rate*30.4/365</f>
        <v>#VALUE!</v>
      </c>
      <c r="O36" s="217"/>
      <c r="P36" s="219" t="s">
        <v>299</v>
      </c>
      <c r="Q36" s="225" t="e">
        <f ca="1">MIN(C18, C49)-Outgoings</f>
        <v>#N/A</v>
      </c>
      <c r="R36" s="15" t="e">
        <f ca="1">-(Q36-(N34*Stress_Rate*30.4/365))*Stress_Rate*30.4/365</f>
        <v>#N/A</v>
      </c>
      <c r="S36" s="217"/>
      <c r="T36" s="219" t="s">
        <v>299</v>
      </c>
      <c r="U36" s="225" t="e">
        <f ca="1">MIN(C18, C49)-Outgoings</f>
        <v>#N/A</v>
      </c>
      <c r="V36" s="15" t="e">
        <f ca="1">-(U36-(Q34*Stress_Rate*30.4/365))*Stress_Rate*30.4/365</f>
        <v>#N/A</v>
      </c>
      <c r="X36" s="219" t="s">
        <v>299</v>
      </c>
      <c r="Y36" s="225">
        <f>C18-Outgoings</f>
        <v>0</v>
      </c>
      <c r="Z36" s="15">
        <f>-(Y36-(Amount_Requested*Stress_Rate*30.4/365))*Stress_Rate*30.4/365</f>
        <v>0</v>
      </c>
      <c r="AA36" s="217"/>
      <c r="AB36" s="219" t="s">
        <v>299</v>
      </c>
      <c r="AC36" s="225">
        <f>C18-Outgoings</f>
        <v>0</v>
      </c>
      <c r="AD36" s="15" t="e">
        <f ca="1">-(AC36-(Y34*Stress_Rate*30.4/365))*Stress_Rate*30.4/365</f>
        <v>#N/A</v>
      </c>
    </row>
    <row r="37" spans="1:30" x14ac:dyDescent="0.25">
      <c r="A37" s="226" t="s">
        <v>285</v>
      </c>
      <c r="B37" s="239"/>
      <c r="C37" s="210">
        <f>IF((('Metrics &amp; Drop Downs'!A88-1)/'Metrics &amp; Drop Downs'!C87-Deposit)/(('Metrics &amp; Drop Downs'!A88-1)/'Metrics &amp; Drop Downs'!C87)&gt;'Metrics &amp; Drop Downs'!C87,  Deposit/(1-'Metrics &amp; Drop Downs'!C87)-Deposit, 'Metrics &amp; Drop Downs'!A88-1)</f>
        <v>0</v>
      </c>
      <c r="D37" s="183">
        <f>IF(Property_Value*'Metrics &amp; Drop Downs'!C87&gt;'Metrics &amp; Drop Downs'!A88-1, 'Metrics &amp; Drop Downs'!A88-1, Property_Value*'Metrics &amp; Drop Downs'!C87)</f>
        <v>0</v>
      </c>
    </row>
    <row r="38" spans="1:30" x14ac:dyDescent="0.25">
      <c r="A38" s="226" t="s">
        <v>286</v>
      </c>
      <c r="B38" s="239"/>
      <c r="C38" s="210">
        <f>IF((('Metrics &amp; Drop Downs'!A89-1)/'Metrics &amp; Drop Downs'!C88-Deposit)/(('Metrics &amp; Drop Downs'!A89-1)/'Metrics &amp; Drop Downs'!C88)&gt;'Metrics &amp; Drop Downs'!C88,  Deposit/(1-'Metrics &amp; Drop Downs'!C88)-Deposit, 'Metrics &amp; Drop Downs'!A89-1)</f>
        <v>0</v>
      </c>
      <c r="D38" s="183">
        <f>IF(Property_Value*'Metrics &amp; Drop Downs'!C88&gt;'Metrics &amp; Drop Downs'!A89-1, 'Metrics &amp; Drop Downs'!A89-1, Property_Value*'Metrics &amp; Drop Downs'!C88)</f>
        <v>0</v>
      </c>
    </row>
    <row r="39" spans="1:30" x14ac:dyDescent="0.25">
      <c r="A39" s="226" t="s">
        <v>287</v>
      </c>
      <c r="B39" s="239"/>
      <c r="C39" s="210">
        <f>IF((('Metrics &amp; Drop Downs'!D85-1)/'Metrics &amp; Drop Downs'!F84-Deposit)/(('Metrics &amp; Drop Downs'!D85-1)/'Metrics &amp; Drop Downs'!F84)&gt;'Metrics &amp; Drop Downs'!F84, Deposit/(1-'Metrics &amp; Drop Downs'!F84)-Deposit, 'Metrics &amp; Drop Downs'!D85-1)</f>
        <v>0</v>
      </c>
      <c r="D39" s="183" t="e">
        <f ca="1">IF(Property_Value*'Metrics &amp; Drop Downs'!F84&gt;'Metrics &amp; Drop Downs'!D85-1, MIN('Metrics &amp; Drop Downs'!D85-1,B26), MIN(Property_Value*'Metrics &amp; Drop Downs'!F84, B26))</f>
        <v>#VALUE!</v>
      </c>
      <c r="H39" s="222" t="s">
        <v>318</v>
      </c>
      <c r="I39" s="214"/>
      <c r="J39" s="215"/>
    </row>
    <row r="40" spans="1:30" x14ac:dyDescent="0.25">
      <c r="A40" s="226" t="s">
        <v>288</v>
      </c>
      <c r="B40" s="239"/>
      <c r="C40" s="210">
        <f>IF((('Metrics &amp; Drop Downs'!D86-1)/'Metrics &amp; Drop Downs'!F85-Deposit)/(('Metrics &amp; Drop Downs'!D86-1)/'Metrics &amp; Drop Downs'!F85)&gt;'Metrics &amp; Drop Downs'!F85, Deposit/(1-'Metrics &amp; Drop Downs'!F85)-Deposit, 'Metrics &amp; Drop Downs'!D86-1)</f>
        <v>0</v>
      </c>
      <c r="D40" s="183" t="e">
        <f ca="1">IF(Property_Value*'Metrics &amp; Drop Downs'!F85&gt;'Metrics &amp; Drop Downs'!D86-1, MIN('Metrics &amp; Drop Downs'!D86-1,B26), MIN(Property_Value*'Metrics &amp; Drop Downs'!F85, B26))</f>
        <v>#VALUE!</v>
      </c>
      <c r="H40" s="202"/>
      <c r="I40" s="273"/>
      <c r="J40" s="218"/>
    </row>
    <row r="41" spans="1:30" x14ac:dyDescent="0.25">
      <c r="G41" s="217"/>
      <c r="H41" s="216" t="s">
        <v>300</v>
      </c>
      <c r="I41" s="266" t="e">
        <f ca="1">Amount_Requested*(Follow_On_Rate/12)*(1+Follow_On_Rate/12)^(C99*12)/((1+Follow_On_Rate/12)^(C99*12)-1)</f>
        <v>#N/A</v>
      </c>
      <c r="J41" s="269" t="s">
        <v>301</v>
      </c>
      <c r="O41" s="217"/>
      <c r="P41" s="217"/>
      <c r="Q41" s="217"/>
      <c r="R41" s="217"/>
      <c r="S41" s="217"/>
      <c r="T41" s="217"/>
    </row>
    <row r="42" spans="1:30" x14ac:dyDescent="0.25">
      <c r="A42" s="25" t="s">
        <v>111</v>
      </c>
      <c r="B42" s="283"/>
      <c r="C42" s="165"/>
      <c r="D42" s="7"/>
      <c r="E42" s="8"/>
      <c r="G42" s="217"/>
      <c r="H42" s="219" t="s">
        <v>299</v>
      </c>
      <c r="I42" s="270" t="e">
        <f ca="1">ROUND(I41+J42, 2)</f>
        <v>#N/A</v>
      </c>
      <c r="J42" s="271" t="e">
        <f ca="1">-(I41-(Amount_Requested*Follow_On_Rate*30.4/365))*Follow_On_Rate*30.4/365</f>
        <v>#N/A</v>
      </c>
      <c r="O42" s="217"/>
      <c r="P42" s="217"/>
      <c r="Q42" s="217"/>
      <c r="R42" s="217"/>
      <c r="S42" s="217"/>
      <c r="T42" s="217"/>
    </row>
    <row r="43" spans="1:30" x14ac:dyDescent="0.25">
      <c r="A43" s="139" t="s">
        <v>112</v>
      </c>
      <c r="B43" s="34" t="e">
        <f ca="1">IF(Requested_Term&gt;Refer_Age-MIN(First_App_Age,Second_App_Age), "Yes", "No")</f>
        <v>#N/A</v>
      </c>
      <c r="D43" s="11"/>
      <c r="E43" s="140"/>
      <c r="G43" s="217"/>
      <c r="K43" s="217"/>
      <c r="L43" s="217"/>
      <c r="M43" s="217"/>
      <c r="N43" s="217"/>
      <c r="O43" s="217"/>
      <c r="P43" s="217"/>
      <c r="Q43" s="217"/>
      <c r="R43" s="217"/>
      <c r="S43" s="217"/>
      <c r="T43" s="217"/>
    </row>
    <row r="44" spans="1:30" x14ac:dyDescent="0.25">
      <c r="A44" s="139" t="s">
        <v>113</v>
      </c>
      <c r="B44" s="34" t="e">
        <f ca="1">IF(Requested_Term&gt;Refer_Age-MAX(First_App_Age,Second_App_Age), "Yes", "No")</f>
        <v>#N/A</v>
      </c>
      <c r="D44" s="11"/>
      <c r="E44" s="140"/>
      <c r="G44" s="217"/>
      <c r="H44" s="222" t="s">
        <v>317</v>
      </c>
      <c r="I44" s="214"/>
      <c r="J44" s="215"/>
      <c r="K44" s="217"/>
      <c r="L44" s="217"/>
      <c r="M44" s="217"/>
      <c r="N44" s="217"/>
      <c r="O44" s="217"/>
      <c r="P44" s="217"/>
      <c r="Q44" s="217"/>
      <c r="R44" s="217"/>
      <c r="S44" s="217"/>
      <c r="T44" s="217"/>
    </row>
    <row r="45" spans="1:30" x14ac:dyDescent="0.25">
      <c r="A45" s="139" t="s">
        <v>114</v>
      </c>
      <c r="B45" s="11" t="e">
        <f ca="1">Refer_Age-MAX(First_App_Age,Second_App_Age)</f>
        <v>#N/A</v>
      </c>
      <c r="D45" s="11"/>
      <c r="E45" s="140"/>
      <c r="G45" s="217"/>
      <c r="H45" s="202" t="s">
        <v>310</v>
      </c>
      <c r="I45" s="273" t="e">
        <f ca="1">I46*(1-(1+Follow_On_Rate/12)^-((Requested_Term-MAX(C97:C99))*12))/(Follow_On_Rate/12)</f>
        <v>#DIV/0!</v>
      </c>
      <c r="J45" s="218"/>
      <c r="K45" s="217"/>
      <c r="L45" s="217"/>
      <c r="M45" s="217"/>
      <c r="N45" s="217"/>
      <c r="O45" s="217"/>
      <c r="P45" s="217"/>
      <c r="Q45" s="217"/>
      <c r="R45" s="217"/>
      <c r="S45" s="217"/>
      <c r="T45" s="217"/>
    </row>
    <row r="46" spans="1:30" x14ac:dyDescent="0.25">
      <c r="A46" s="139" t="s">
        <v>115</v>
      </c>
      <c r="B46" s="10" t="e">
        <f ca="1">IF(Second_App_Age&lt;First_App_Age,D92*(1+Wage_Inflation)^Calculations!B45, C92*(1+Wage_Inflation)^Calculations!B45)</f>
        <v>#N/A</v>
      </c>
      <c r="D46" s="11"/>
      <c r="E46" s="140"/>
      <c r="G46" s="217"/>
      <c r="H46" s="216" t="s">
        <v>300</v>
      </c>
      <c r="I46" s="266" t="e">
        <f>Amount_Requested*(Follow_On_Rate/12)*(1+Follow_On_Rate/12)^(Requested_Term*12)/((1+Follow_On_Rate/12)^(Requested_Term*12)-1)</f>
        <v>#DIV/0!</v>
      </c>
      <c r="J46" s="269" t="s">
        <v>301</v>
      </c>
      <c r="K46" s="217"/>
      <c r="L46" s="217"/>
      <c r="M46" s="217"/>
      <c r="N46" s="217"/>
      <c r="O46" s="217"/>
      <c r="P46" s="217"/>
      <c r="Q46" s="217"/>
      <c r="R46" s="217"/>
      <c r="S46" s="217"/>
      <c r="T46" s="217"/>
    </row>
    <row r="47" spans="1:30" x14ac:dyDescent="0.25">
      <c r="A47" s="139" t="s">
        <v>116</v>
      </c>
      <c r="B47" s="10" t="e">
        <f ca="1">IF(Island="Jersey", Jersey_Pension*(1+Wage_Inflation)^Calculations!B45, Guernsey_Pension*(1+Wage_Inflation)^Calculations!B45)</f>
        <v>#N/A</v>
      </c>
      <c r="D47" s="11"/>
      <c r="E47" s="140"/>
      <c r="G47" s="217"/>
      <c r="H47" s="219" t="s">
        <v>299</v>
      </c>
      <c r="I47" s="270" t="e">
        <f>ROUND(I46+J47, 2)</f>
        <v>#DIV/0!</v>
      </c>
      <c r="J47" s="271" t="e">
        <f>-(I46-(Amount_Requested*Follow_On_Rate*30.4/365))*Follow_On_Rate*30.4/365</f>
        <v>#DIV/0!</v>
      </c>
      <c r="K47" s="217"/>
      <c r="L47" s="217"/>
      <c r="M47" s="217"/>
      <c r="N47" s="217"/>
      <c r="O47" s="217"/>
      <c r="P47" s="217"/>
      <c r="Q47" s="217"/>
      <c r="R47" s="217"/>
      <c r="S47" s="217"/>
      <c r="T47" s="217"/>
    </row>
    <row r="48" spans="1:30" x14ac:dyDescent="0.25">
      <c r="A48" s="139" t="s">
        <v>117</v>
      </c>
      <c r="B48" s="10" t="e">
        <f ca="1">SUM(B46:B47)</f>
        <v>#N/A</v>
      </c>
      <c r="C48" s="5" t="str">
        <f>"&gt;"&amp;'Metrics &amp; Drop Downs'!B49&amp;"% LTV"</f>
        <v>&gt;70% LTV</v>
      </c>
      <c r="D48" s="34" t="s">
        <v>239</v>
      </c>
      <c r="E48" s="140" t="s">
        <v>147</v>
      </c>
      <c r="F48" s="238" t="s">
        <v>258</v>
      </c>
      <c r="G48" s="217"/>
      <c r="H48" s="217"/>
      <c r="I48" s="217"/>
      <c r="J48" s="217"/>
      <c r="K48" s="217"/>
      <c r="L48" s="217"/>
      <c r="M48" s="217"/>
      <c r="N48" s="217"/>
      <c r="O48" s="217"/>
      <c r="P48" s="217"/>
      <c r="Q48" s="217"/>
      <c r="R48" s="217"/>
      <c r="S48" s="217"/>
      <c r="T48" s="217"/>
    </row>
    <row r="49" spans="1:22" x14ac:dyDescent="0.25">
      <c r="A49" s="139" t="s">
        <v>118</v>
      </c>
      <c r="B49" s="51" t="e">
        <f ca="1">B16*B48/12</f>
        <v>#N/A</v>
      </c>
      <c r="C49" s="51" t="e">
        <f ca="1">C16*B48/12</f>
        <v>#N/A</v>
      </c>
      <c r="D49" s="51" t="e">
        <f ca="1">D16*B48/12</f>
        <v>#N/A</v>
      </c>
      <c r="E49" s="70" t="e">
        <f ca="1">E16*B48/12</f>
        <v>#N/A</v>
      </c>
      <c r="F49" s="51" t="e">
        <f ca="1">IF(Amount_Requested&gt;Property_Value*0.9, E49, IF(Amount_Requested&gt;Property_Value*LTV_Affordability/100, D49, IF(Amount_Requested&gt;Property_Value*'Metrics &amp; Drop Downs'!B49/100, C49, B49)))</f>
        <v>#N/A</v>
      </c>
      <c r="G49" s="217"/>
      <c r="J49" s="217"/>
      <c r="K49" s="217"/>
      <c r="L49" s="217"/>
      <c r="M49" s="217"/>
      <c r="N49" s="217"/>
      <c r="O49" s="217"/>
      <c r="P49" s="217"/>
      <c r="Q49" s="217"/>
      <c r="R49" s="217"/>
      <c r="S49" s="217"/>
      <c r="T49" s="217"/>
    </row>
    <row r="50" spans="1:22" x14ac:dyDescent="0.25">
      <c r="A50" s="13" t="s">
        <v>119</v>
      </c>
      <c r="B50" s="33" t="e">
        <f ca="1">B17*B48/12</f>
        <v>#N/A</v>
      </c>
      <c r="C50" s="220"/>
      <c r="D50" s="14"/>
      <c r="E50" s="15"/>
      <c r="G50" s="217"/>
      <c r="H50" s="217"/>
      <c r="I50" s="217"/>
      <c r="J50" s="217"/>
      <c r="K50" s="217"/>
      <c r="L50" s="217"/>
      <c r="M50" s="217"/>
      <c r="N50" s="217"/>
      <c r="O50" s="217"/>
      <c r="P50" s="217"/>
      <c r="Q50" s="217"/>
      <c r="R50" s="217"/>
      <c r="S50" s="217"/>
      <c r="T50" s="217"/>
    </row>
    <row r="51" spans="1:22" x14ac:dyDescent="0.25">
      <c r="G51" s="217"/>
      <c r="H51" s="217"/>
      <c r="I51" s="217"/>
      <c r="J51" s="217"/>
      <c r="K51" s="217"/>
      <c r="L51" s="217"/>
      <c r="M51" s="217"/>
      <c r="N51" s="217"/>
      <c r="O51" s="217"/>
      <c r="P51" s="217"/>
      <c r="Q51" s="217"/>
      <c r="R51" s="217"/>
      <c r="S51" s="217"/>
      <c r="T51" s="217"/>
    </row>
    <row r="52" spans="1:22" x14ac:dyDescent="0.25">
      <c r="A52" s="25" t="s">
        <v>68</v>
      </c>
      <c r="B52" s="283"/>
      <c r="C52" s="8"/>
      <c r="G52" s="217"/>
      <c r="H52" s="217"/>
      <c r="I52" s="217"/>
      <c r="J52" s="217"/>
      <c r="K52" s="217"/>
      <c r="L52" s="217"/>
      <c r="M52" s="217"/>
      <c r="N52" s="217"/>
      <c r="O52" s="217"/>
      <c r="P52" s="217"/>
      <c r="Q52" s="217"/>
      <c r="R52" s="217"/>
      <c r="S52" s="217"/>
      <c r="T52" s="217"/>
    </row>
    <row r="53" spans="1:22" x14ac:dyDescent="0.25">
      <c r="A53" s="9" t="s">
        <v>69</v>
      </c>
      <c r="B53" s="217"/>
      <c r="C53" s="36">
        <f>IF(Direct="Broker", 90%, IF(Island="Jersey", 'Metrics &amp; Drop Downs'!C32, 'Metrics &amp; Drop Downs'!C31))</f>
        <v>0.9</v>
      </c>
      <c r="G53" s="217"/>
      <c r="H53" s="217"/>
      <c r="I53" s="217"/>
      <c r="J53" s="217"/>
      <c r="K53" s="217"/>
      <c r="L53" s="217"/>
      <c r="M53" s="217"/>
      <c r="N53" s="217"/>
      <c r="O53" s="217"/>
      <c r="P53" s="217"/>
      <c r="Q53" s="217"/>
      <c r="R53" s="217"/>
      <c r="S53" s="217"/>
      <c r="T53" s="217"/>
    </row>
    <row r="54" spans="1:22" x14ac:dyDescent="0.25">
      <c r="A54" s="9" t="s">
        <v>70</v>
      </c>
      <c r="B54" s="217"/>
      <c r="C54" s="36">
        <f>IF(Interest_Only="Yes", 'Metrics &amp; Drop Downs'!L37, IF(Buy_to_Let="Yes", VLOOKUP(Amount_Requested, 'Metrics &amp; Drop Downs'!D84:F89, 3, TRUE), VLOOKUP(Amount_Requested, 'Metrics &amp; Drop Downs'!A84:C89, 3, TRUE)))</f>
        <v>0.9</v>
      </c>
      <c r="G54" s="217"/>
      <c r="H54" s="217"/>
      <c r="I54" s="217"/>
      <c r="J54" s="217"/>
      <c r="K54" s="217"/>
      <c r="L54" s="217"/>
      <c r="M54" s="217"/>
      <c r="N54" s="217"/>
      <c r="O54" s="217"/>
      <c r="P54" s="217"/>
      <c r="Q54" s="217"/>
      <c r="R54" s="217"/>
      <c r="S54" s="217"/>
      <c r="T54" s="217"/>
    </row>
    <row r="55" spans="1:22" x14ac:dyDescent="0.25">
      <c r="A55" s="13" t="s">
        <v>71</v>
      </c>
      <c r="B55" s="220"/>
      <c r="C55" s="37">
        <f>IF(OR(Buy_to_Let="Yes",Interest_Only="Yes"),MIN(C53:C54),IF(Amount_Requested&lt;=Next_Generation_Max_Loan,C53,MIN(C53:C54)))</f>
        <v>0.9</v>
      </c>
      <c r="G55" s="217"/>
      <c r="H55" s="217"/>
      <c r="I55" s="217"/>
      <c r="J55" s="217"/>
      <c r="K55" s="217"/>
      <c r="L55" s="217"/>
      <c r="M55" s="217"/>
      <c r="N55" s="217"/>
      <c r="O55" s="217"/>
      <c r="P55" s="217"/>
      <c r="Q55" s="217"/>
      <c r="R55" s="217"/>
      <c r="S55" s="217"/>
      <c r="T55" s="217"/>
    </row>
    <row r="56" spans="1:22" x14ac:dyDescent="0.25">
      <c r="G56" s="217"/>
      <c r="H56" s="217"/>
      <c r="I56" s="217"/>
      <c r="J56" s="217"/>
      <c r="K56" s="217"/>
      <c r="L56" s="217"/>
      <c r="M56" s="217"/>
      <c r="N56" s="217"/>
      <c r="O56" s="217"/>
      <c r="P56" s="217"/>
      <c r="Q56" s="217"/>
      <c r="R56" s="217"/>
      <c r="S56" s="217"/>
      <c r="T56" s="217"/>
    </row>
    <row r="57" spans="1:22" x14ac:dyDescent="0.25">
      <c r="A57" s="25" t="s">
        <v>46</v>
      </c>
      <c r="B57" s="283"/>
      <c r="C57" s="8"/>
      <c r="G57" s="217"/>
      <c r="H57" s="217"/>
      <c r="I57" s="217"/>
      <c r="J57" s="217"/>
      <c r="K57" s="217"/>
      <c r="L57" s="217"/>
      <c r="M57" s="217"/>
      <c r="N57" s="217"/>
      <c r="O57" s="217"/>
      <c r="P57" s="217"/>
      <c r="Q57" s="217"/>
      <c r="R57" s="217"/>
      <c r="S57" s="217"/>
      <c r="T57" s="217"/>
    </row>
    <row r="58" spans="1:22" x14ac:dyDescent="0.25">
      <c r="A58" s="38" t="e">
        <f>IF(Amount_Requested&gt;=Refer_Min,IF(Amount_Requested&lt;=Refer_Max,IF(LTV&gt;Overall_Max_LTV+Refer_LTV_Perc,"Declined",IF(LTV&gt;Overall_Max_LTV,"Refer","AIP")), "Declined"),IF(LTV&gt;Overall_Max_LTV,"Declined","AIP"))</f>
        <v>#DIV/0!</v>
      </c>
      <c r="B58" s="238"/>
      <c r="C58" s="12" t="s">
        <v>19</v>
      </c>
      <c r="G58" s="217"/>
      <c r="H58" s="217"/>
      <c r="I58" s="217"/>
      <c r="J58" s="217"/>
      <c r="K58" s="217"/>
      <c r="L58" s="217"/>
      <c r="M58" s="217"/>
      <c r="N58" s="217"/>
      <c r="O58" s="217"/>
      <c r="P58" s="217"/>
      <c r="Q58" s="217"/>
      <c r="R58" s="217"/>
      <c r="S58" s="217"/>
      <c r="T58" s="217"/>
      <c r="U58" s="217"/>
      <c r="V58" s="217"/>
    </row>
    <row r="59" spans="1:22" x14ac:dyDescent="0.25">
      <c r="A59" s="38" t="str">
        <f>IF(Island="Jersey", IF(Amount_Requested&lt;Jsy_Min_Valuation, "Declined", "AIP"),IF(Island="GHA", IF(Amount_Requested&lt;GHA_Min_Valuation, "Declined", "AIP"), IF(Amount_Requested&lt;Gsy_Min_Valuation, "Declined", "AIP")))</f>
        <v>Declined</v>
      </c>
      <c r="B59" s="238"/>
      <c r="C59" s="12" t="s">
        <v>164</v>
      </c>
      <c r="G59" s="217"/>
      <c r="H59" s="217"/>
      <c r="I59" s="223"/>
      <c r="J59" s="217"/>
      <c r="K59" s="217"/>
      <c r="L59" s="217"/>
      <c r="M59" s="223"/>
      <c r="N59" s="217"/>
      <c r="O59" s="217"/>
      <c r="P59" s="217"/>
      <c r="Q59" s="223"/>
      <c r="R59" s="217"/>
      <c r="S59" s="217"/>
      <c r="T59" s="217"/>
      <c r="U59" s="223"/>
      <c r="V59" s="217"/>
    </row>
    <row r="60" spans="1:22" x14ac:dyDescent="0.25">
      <c r="A60" s="38" t="e">
        <f ca="1">IF(Buy_to_Let="Yes","AIP",IF(MIN(Max_Joint_Age-MAX(First_App_Age,Second_App_Age)-1,MIN(First_App_Age,Second_App_Age)+Requested_Term+1)&gt;Max_Age,"Declined","AIP"))</f>
        <v>#N/A</v>
      </c>
      <c r="B60" s="238"/>
      <c r="C60" s="12" t="s">
        <v>65</v>
      </c>
      <c r="G60" s="217"/>
      <c r="H60" s="217"/>
      <c r="I60" s="217"/>
      <c r="J60" s="221"/>
      <c r="K60" s="217"/>
      <c r="L60" s="217"/>
      <c r="M60" s="217"/>
      <c r="N60" s="223"/>
      <c r="O60" s="217"/>
      <c r="P60" s="217"/>
      <c r="Q60" s="217"/>
      <c r="R60" s="223"/>
      <c r="S60" s="217"/>
      <c r="T60" s="217"/>
      <c r="U60" s="217"/>
      <c r="V60" s="223"/>
    </row>
    <row r="61" spans="1:22" x14ac:dyDescent="0.25">
      <c r="A61" s="38" t="str">
        <f>IFERROR(Stress_C_and_I, "Declined")</f>
        <v>Declined</v>
      </c>
      <c r="B61" s="238"/>
      <c r="C61" s="12" t="s">
        <v>66</v>
      </c>
      <c r="G61" s="217"/>
      <c r="H61" s="217"/>
      <c r="I61" s="217"/>
      <c r="J61" s="217"/>
      <c r="K61" s="217"/>
      <c r="L61" s="217"/>
      <c r="M61" s="217"/>
      <c r="N61" s="217"/>
      <c r="O61" s="217"/>
      <c r="P61" s="217"/>
      <c r="Q61" s="217"/>
      <c r="R61" s="217"/>
      <c r="S61" s="217"/>
      <c r="T61" s="217"/>
      <c r="U61" s="217"/>
      <c r="V61" s="217"/>
    </row>
    <row r="62" spans="1:22" x14ac:dyDescent="0.25">
      <c r="A62" s="38" t="str">
        <f>IF(Interest_Only="Yes","Refer","AIP")</f>
        <v>AIP</v>
      </c>
      <c r="B62" s="238"/>
      <c r="C62" s="218" t="s">
        <v>323</v>
      </c>
      <c r="G62" s="217"/>
      <c r="H62" s="217"/>
      <c r="I62" s="217"/>
      <c r="J62" s="217"/>
      <c r="K62" s="217"/>
      <c r="L62" s="217"/>
      <c r="M62" s="217"/>
      <c r="N62" s="217"/>
      <c r="O62" s="217"/>
      <c r="P62" s="217"/>
      <c r="Q62" s="217"/>
      <c r="R62" s="217"/>
      <c r="S62" s="217"/>
      <c r="T62" s="217"/>
    </row>
    <row r="63" spans="1:22" x14ac:dyDescent="0.25">
      <c r="A63" s="38" t="e">
        <f>IF(Buy_to_Let="Yes", IF(BTL_Affordability_Indicator="Yes", "AIP", "Declined"), IF('AIP Indicator'!F31="Yes", IF('AIP Indicator'!B32&gt;Calculations!B20, "Declined", "AIP"), IF(Stress_C_and_I+Outgoings&gt;F19, "Declined", IF(Stress_C_and_I+Outgoings&gt;Max_Monthly, "Refer", "AIP"))))</f>
        <v>#DIV/0!</v>
      </c>
      <c r="B63" s="238"/>
      <c r="C63" s="12" t="s">
        <v>47</v>
      </c>
      <c r="G63" s="217"/>
      <c r="H63" s="217"/>
      <c r="I63" s="217"/>
      <c r="J63" s="217"/>
      <c r="K63" s="217"/>
      <c r="L63" s="217"/>
      <c r="M63" s="217"/>
      <c r="N63" s="217"/>
      <c r="O63" s="217"/>
      <c r="P63" s="217"/>
      <c r="Q63" s="217"/>
      <c r="R63" s="217"/>
      <c r="S63" s="217"/>
      <c r="T63" s="217"/>
    </row>
    <row r="64" spans="1:22" x14ac:dyDescent="0.25">
      <c r="A64" s="34" t="str">
        <f>IF('AIP Indicator'!F31="Yes", IF(Amount_Requested&lt;'Metrics &amp; Drop Downs'!D9, "Declined", "AIP"), "")</f>
        <v/>
      </c>
      <c r="B64" s="238"/>
      <c r="C64" s="12" t="s">
        <v>324</v>
      </c>
      <c r="G64" s="217"/>
      <c r="H64" s="217"/>
      <c r="I64" s="217"/>
      <c r="J64" s="217"/>
      <c r="K64" s="217"/>
      <c r="L64" s="217"/>
      <c r="M64" s="217"/>
      <c r="N64" s="217"/>
      <c r="O64" s="217"/>
      <c r="P64" s="217"/>
      <c r="Q64" s="217"/>
      <c r="R64" s="217"/>
      <c r="S64" s="217"/>
      <c r="T64" s="217"/>
    </row>
    <row r="65" spans="1:22" x14ac:dyDescent="0.25">
      <c r="A65" s="5" t="e">
        <f ca="1">IF(Requested_Term&gt;MAX(C99, C101), "Declined", "AIP")</f>
        <v>#N/A</v>
      </c>
      <c r="B65" s="5"/>
      <c r="C65" s="12" t="s">
        <v>167</v>
      </c>
      <c r="G65" s="217"/>
      <c r="H65" s="217"/>
      <c r="I65" s="217"/>
      <c r="J65" s="217"/>
      <c r="K65" s="217"/>
      <c r="L65" s="217"/>
      <c r="M65" s="217"/>
      <c r="N65" s="217"/>
      <c r="O65" s="217"/>
      <c r="P65" s="217"/>
      <c r="Q65" s="217"/>
      <c r="R65" s="217"/>
      <c r="S65" s="217"/>
      <c r="T65" s="217"/>
    </row>
    <row r="66" spans="1:22" s="11" customFormat="1" x14ac:dyDescent="0.25">
      <c r="A66" s="38">
        <f ca="1">COUNTIF(A58:A65, "Declined")</f>
        <v>2</v>
      </c>
      <c r="B66" s="238"/>
      <c r="C66" s="12" t="s">
        <v>50</v>
      </c>
      <c r="D66"/>
      <c r="E66"/>
      <c r="F66" s="155"/>
      <c r="G66" s="217"/>
      <c r="H66" s="217"/>
      <c r="I66" s="217"/>
      <c r="J66" s="217"/>
      <c r="K66" s="217"/>
      <c r="L66" s="217"/>
      <c r="M66" s="217"/>
      <c r="N66" s="217"/>
      <c r="O66" s="217"/>
      <c r="P66" s="217"/>
      <c r="Q66" s="217"/>
      <c r="R66" s="217"/>
      <c r="S66" s="217"/>
      <c r="T66" s="217"/>
    </row>
    <row r="67" spans="1:22" s="11" customFormat="1" x14ac:dyDescent="0.25">
      <c r="A67" s="38">
        <f ca="1">COUNTIF(A58:A65, "Refer")</f>
        <v>0</v>
      </c>
      <c r="B67" s="238"/>
      <c r="C67" s="12" t="s">
        <v>51</v>
      </c>
      <c r="D67"/>
      <c r="E67"/>
      <c r="F67" s="155"/>
      <c r="G67" s="217"/>
      <c r="H67" s="217"/>
      <c r="I67" s="217"/>
      <c r="J67" s="217"/>
      <c r="K67" s="217"/>
      <c r="L67" s="217"/>
      <c r="M67" s="217"/>
      <c r="N67" s="217"/>
      <c r="O67" s="217"/>
      <c r="P67" s="217"/>
      <c r="Q67" s="217"/>
      <c r="R67" s="217"/>
      <c r="S67" s="217"/>
      <c r="T67" s="217"/>
    </row>
    <row r="68" spans="1:22" s="11" customFormat="1" x14ac:dyDescent="0.25">
      <c r="A68" s="38" t="str">
        <f ca="1">IF(A66&gt;0,"Declined",IF(A67&gt;0,"Refer","AIP"))</f>
        <v>Declined</v>
      </c>
      <c r="B68" s="238"/>
      <c r="C68" s="12"/>
      <c r="D68"/>
      <c r="E68"/>
      <c r="F68" s="155"/>
      <c r="G68" s="217"/>
      <c r="H68" s="217"/>
      <c r="I68" s="217"/>
      <c r="J68" s="217"/>
      <c r="K68" s="217"/>
      <c r="L68" s="217"/>
      <c r="M68" s="217"/>
      <c r="N68" s="217"/>
      <c r="O68" s="217"/>
      <c r="P68" s="217"/>
      <c r="Q68" s="217"/>
      <c r="R68" s="217"/>
      <c r="S68" s="217"/>
      <c r="T68" s="217"/>
    </row>
    <row r="69" spans="1:22" s="11" customFormat="1" x14ac:dyDescent="0.25">
      <c r="A69" s="39" t="str">
        <f ca="1">A68</f>
        <v>Declined</v>
      </c>
      <c r="B69" s="284"/>
      <c r="C69" s="15" t="str">
        <f ca="1">VLOOKUP(A68, A58:C65, 3, FALSE)</f>
        <v>Minimum Mortgage Value</v>
      </c>
      <c r="D69"/>
      <c r="E69"/>
      <c r="G69" s="217"/>
      <c r="H69" s="217"/>
      <c r="I69" s="217"/>
      <c r="J69" s="217"/>
      <c r="K69" s="217"/>
      <c r="L69" s="217"/>
      <c r="M69" s="217"/>
      <c r="N69" s="217"/>
      <c r="O69" s="217"/>
      <c r="P69" s="217"/>
      <c r="Q69" s="217"/>
      <c r="R69" s="217"/>
      <c r="S69" s="217"/>
      <c r="T69" s="217"/>
    </row>
    <row r="70" spans="1:22" s="11" customFormat="1" x14ac:dyDescent="0.25">
      <c r="A70"/>
      <c r="B70" s="155"/>
      <c r="C70"/>
      <c r="D70"/>
      <c r="E70"/>
      <c r="G70" s="217"/>
      <c r="H70" s="217"/>
      <c r="I70" s="217"/>
      <c r="J70" s="217"/>
      <c r="K70" s="217"/>
      <c r="L70" s="217"/>
      <c r="M70" s="217"/>
      <c r="N70" s="217"/>
      <c r="O70" s="217"/>
      <c r="P70" s="217"/>
      <c r="Q70" s="217"/>
      <c r="R70" s="217"/>
      <c r="S70" s="217"/>
      <c r="T70" s="217"/>
    </row>
    <row r="71" spans="1:22" s="11" customFormat="1" x14ac:dyDescent="0.25">
      <c r="A71" s="25" t="s">
        <v>126</v>
      </c>
      <c r="B71" s="283"/>
      <c r="C71" s="8"/>
      <c r="D71"/>
      <c r="E71"/>
      <c r="G71" s="217"/>
      <c r="H71" s="217"/>
      <c r="I71" s="217"/>
      <c r="J71" s="217"/>
      <c r="K71" s="217"/>
      <c r="L71" s="217"/>
      <c r="M71" s="217"/>
      <c r="N71" s="217"/>
      <c r="O71" s="217"/>
      <c r="P71" s="217"/>
      <c r="Q71" s="217"/>
      <c r="R71" s="217"/>
      <c r="S71" s="217"/>
      <c r="T71" s="217"/>
    </row>
    <row r="72" spans="1:22" s="11" customFormat="1" x14ac:dyDescent="0.25">
      <c r="A72" s="9" t="s">
        <v>170</v>
      </c>
      <c r="B72" s="217"/>
      <c r="C72" s="12" t="str">
        <f ca="1">IF(DoB_App_1=0, "", INT((TODAY()-DoB_App_1+182)/365.25))</f>
        <v/>
      </c>
      <c r="D72"/>
      <c r="E72"/>
      <c r="G72" s="217"/>
      <c r="H72" s="217"/>
      <c r="I72" s="217"/>
      <c r="J72" s="221"/>
      <c r="K72" s="217"/>
      <c r="L72" s="217"/>
      <c r="M72" s="217"/>
      <c r="N72" s="223"/>
      <c r="O72" s="217"/>
      <c r="P72" s="217"/>
      <c r="Q72" s="217"/>
      <c r="R72" s="223"/>
      <c r="S72" s="217"/>
      <c r="T72" s="217"/>
      <c r="U72" s="217"/>
      <c r="V72" s="223"/>
    </row>
    <row r="73" spans="1:22" s="11" customFormat="1" x14ac:dyDescent="0.25">
      <c r="A73" s="9" t="s">
        <v>171</v>
      </c>
      <c r="B73" s="217"/>
      <c r="C73" s="12">
        <f ca="1" xml:space="preserve"> IF(DoB_App_2=0,0, INT((TODAY()-DoB_App_2+182)/365.25))</f>
        <v>0</v>
      </c>
      <c r="D73"/>
      <c r="E73"/>
      <c r="G73" s="217"/>
      <c r="H73" s="217"/>
      <c r="I73" s="50"/>
      <c r="J73" s="221"/>
      <c r="K73" s="217"/>
      <c r="L73" s="217"/>
      <c r="M73" s="223"/>
      <c r="N73" s="221"/>
      <c r="O73" s="217"/>
      <c r="P73" s="217"/>
      <c r="Q73" s="223"/>
      <c r="R73" s="221"/>
      <c r="S73" s="217"/>
      <c r="T73" s="217"/>
      <c r="U73" s="223"/>
      <c r="V73" s="221"/>
    </row>
    <row r="74" spans="1:22" s="11" customFormat="1" x14ac:dyDescent="0.25">
      <c r="A74" s="9" t="s">
        <v>127</v>
      </c>
      <c r="B74" s="217"/>
      <c r="C74" s="12" t="str">
        <f ca="1">IF('AIP Indicator'!B11="Yes",C72-Refer_Age_Self_Employed+Refer_Age, C72)</f>
        <v/>
      </c>
      <c r="D74"/>
      <c r="E74"/>
      <c r="G74" s="217"/>
      <c r="H74" s="217"/>
      <c r="I74" s="217"/>
      <c r="J74" s="221"/>
      <c r="K74" s="217"/>
      <c r="L74" s="217"/>
      <c r="M74" s="223"/>
      <c r="N74" s="223"/>
      <c r="O74" s="217"/>
      <c r="P74" s="217"/>
      <c r="Q74" s="223"/>
      <c r="R74" s="223"/>
      <c r="S74" s="217"/>
      <c r="T74" s="217"/>
      <c r="U74" s="223"/>
      <c r="V74" s="223"/>
    </row>
    <row r="75" spans="1:22" s="11" customFormat="1" x14ac:dyDescent="0.25">
      <c r="A75" s="13" t="s">
        <v>128</v>
      </c>
      <c r="B75" s="220"/>
      <c r="C75" s="15">
        <f ca="1">IF('AIP Indicator'!C11="Yes", C73-Refer_Age_Self_Employed+Refer_Age, C73)</f>
        <v>0</v>
      </c>
      <c r="D75"/>
      <c r="E75"/>
      <c r="G75" s="217"/>
      <c r="H75" s="217"/>
      <c r="I75" s="217"/>
      <c r="J75" s="221"/>
      <c r="K75" s="217"/>
      <c r="L75" s="217"/>
      <c r="M75" s="223"/>
      <c r="N75" s="223"/>
      <c r="O75" s="217"/>
      <c r="P75" s="217"/>
      <c r="Q75" s="223"/>
      <c r="R75" s="223"/>
      <c r="S75" s="217"/>
      <c r="T75" s="217"/>
      <c r="U75" s="223"/>
      <c r="V75" s="223"/>
    </row>
    <row r="76" spans="1:22" s="11" customFormat="1" x14ac:dyDescent="0.25">
      <c r="A76"/>
      <c r="B76" s="155"/>
      <c r="C76"/>
      <c r="D76"/>
      <c r="E76"/>
      <c r="G76" s="217"/>
      <c r="H76" s="217"/>
      <c r="I76" s="217"/>
      <c r="J76" s="217"/>
      <c r="K76" s="217"/>
      <c r="L76" s="217"/>
      <c r="M76" s="217"/>
      <c r="N76" s="217"/>
      <c r="O76" s="217"/>
      <c r="P76" s="217"/>
      <c r="Q76" s="217"/>
      <c r="R76" s="217"/>
      <c r="S76" s="217"/>
      <c r="T76" s="217"/>
      <c r="U76" s="217"/>
      <c r="V76" s="217"/>
    </row>
    <row r="77" spans="1:22" s="11" customFormat="1" x14ac:dyDescent="0.25">
      <c r="A77" s="83" t="s">
        <v>131</v>
      </c>
      <c r="B77" s="285"/>
      <c r="C77" s="84">
        <f>IF(Island="Guernsey", 'Metrics &amp; Drop Downs'!B35, IF(Island="GHA", 'Metrics &amp; Drop Downs'!B36,'Metrics &amp; Drop Downs'!B37))</f>
        <v>40</v>
      </c>
      <c r="D77"/>
      <c r="E77"/>
      <c r="F77" s="134"/>
      <c r="G77" s="217"/>
      <c r="H77" s="217"/>
      <c r="I77" s="223"/>
      <c r="J77" s="217"/>
      <c r="K77" s="217"/>
      <c r="L77" s="217"/>
      <c r="M77" s="223"/>
      <c r="N77" s="217"/>
      <c r="O77" s="217"/>
      <c r="P77" s="217"/>
      <c r="Q77" s="223"/>
      <c r="R77" s="217"/>
      <c r="S77" s="217"/>
      <c r="T77" s="217"/>
      <c r="U77" s="223"/>
      <c r="V77" s="217"/>
    </row>
    <row r="78" spans="1:22" s="11" customFormat="1" x14ac:dyDescent="0.25">
      <c r="A78" s="87"/>
      <c r="B78" s="239"/>
      <c r="D78"/>
      <c r="E78"/>
      <c r="F78" s="134"/>
      <c r="G78" s="217"/>
      <c r="H78" s="217"/>
      <c r="I78" s="217"/>
      <c r="J78" s="221"/>
      <c r="K78" s="217"/>
      <c r="L78" s="217"/>
      <c r="M78" s="217"/>
      <c r="N78" s="223"/>
      <c r="O78" s="217"/>
      <c r="P78" s="217"/>
      <c r="Q78" s="217"/>
      <c r="R78" s="223"/>
      <c r="S78" s="217"/>
      <c r="T78" s="217"/>
      <c r="U78" s="217"/>
      <c r="V78" s="223"/>
    </row>
    <row r="79" spans="1:22" s="11" customFormat="1" x14ac:dyDescent="0.25">
      <c r="A79" s="82" t="s">
        <v>155</v>
      </c>
      <c r="B79" s="239"/>
      <c r="F79" s="134"/>
      <c r="G79" s="217"/>
      <c r="H79" s="217"/>
      <c r="I79" s="217"/>
      <c r="J79" s="217"/>
      <c r="K79" s="217"/>
      <c r="L79" s="217"/>
      <c r="M79" s="217"/>
      <c r="N79" s="217"/>
      <c r="O79" s="217"/>
      <c r="P79" s="217"/>
      <c r="Q79" s="217"/>
      <c r="R79" s="217"/>
      <c r="S79" s="217"/>
      <c r="T79" s="217"/>
      <c r="U79" s="217"/>
      <c r="V79" s="217"/>
    </row>
    <row r="80" spans="1:22" s="11" customFormat="1" x14ac:dyDescent="0.25">
      <c r="A80" s="82" t="s">
        <v>158</v>
      </c>
      <c r="B80" s="239"/>
      <c r="C80" s="34" t="str">
        <f>Buy_to_Let</f>
        <v>No</v>
      </c>
      <c r="F80" s="134"/>
      <c r="G80" s="217"/>
      <c r="H80" s="217"/>
      <c r="I80" s="217"/>
      <c r="J80" s="217"/>
      <c r="K80" s="217"/>
      <c r="L80" s="217"/>
      <c r="M80" s="217"/>
      <c r="N80" s="217"/>
      <c r="O80" s="217"/>
      <c r="P80" s="217"/>
      <c r="Q80" s="217"/>
      <c r="R80" s="217"/>
      <c r="S80" s="217"/>
      <c r="T80" s="217"/>
    </row>
    <row r="81" spans="1:20" s="11" customFormat="1" x14ac:dyDescent="0.25">
      <c r="A81" s="82" t="s">
        <v>156</v>
      </c>
      <c r="B81" s="239"/>
      <c r="C81" s="34" t="str">
        <f>IF(Income&gt;=BTL_Min_Income, "Yes", "No")</f>
        <v>No</v>
      </c>
      <c r="F81" s="134"/>
      <c r="G81" s="217"/>
      <c r="H81" s="217"/>
      <c r="I81" s="217"/>
      <c r="J81" s="217"/>
      <c r="K81" s="217"/>
      <c r="L81" s="217"/>
      <c r="M81" s="217"/>
      <c r="N81" s="217"/>
      <c r="O81" s="217"/>
      <c r="P81" s="217"/>
      <c r="Q81" s="217"/>
      <c r="R81" s="217"/>
      <c r="S81" s="217"/>
      <c r="T81" s="217"/>
    </row>
    <row r="82" spans="1:20" s="11" customFormat="1" x14ac:dyDescent="0.25">
      <c r="A82" s="82" t="s">
        <v>157</v>
      </c>
      <c r="B82" s="239"/>
      <c r="C82" s="34" t="str">
        <f>IF(Amount_Requested*Stress_Rate/12&lt;=(Rent_mth/BTL_Affordability),"Yes","No")</f>
        <v>Yes</v>
      </c>
      <c r="G82" s="217"/>
      <c r="H82" s="217"/>
      <c r="I82" s="217"/>
      <c r="J82" s="217"/>
      <c r="K82" s="217"/>
      <c r="L82" s="217"/>
      <c r="M82" s="217"/>
      <c r="N82" s="217"/>
      <c r="O82" s="217"/>
      <c r="P82" s="217"/>
      <c r="Q82" s="217"/>
      <c r="R82" s="217"/>
      <c r="S82" s="217"/>
      <c r="T82" s="217"/>
    </row>
    <row r="83" spans="1:20" s="11" customFormat="1" x14ac:dyDescent="0.25">
      <c r="A83" s="82" t="s">
        <v>159</v>
      </c>
      <c r="B83" s="239"/>
      <c r="C83" s="34" t="str">
        <f>IF(C81="Yes", IF(C82="Yes", "Yes", "No"), "No")</f>
        <v>No</v>
      </c>
      <c r="G83" s="217"/>
      <c r="H83" s="217"/>
      <c r="I83" s="217"/>
      <c r="J83" s="217"/>
      <c r="K83" s="217"/>
      <c r="L83" s="217"/>
      <c r="M83" s="217"/>
      <c r="N83" s="217"/>
      <c r="O83" s="217"/>
      <c r="P83" s="217"/>
      <c r="Q83" s="217"/>
      <c r="R83" s="217"/>
      <c r="S83" s="217"/>
      <c r="T83" s="217"/>
    </row>
    <row r="84" spans="1:20" s="11" customFormat="1" x14ac:dyDescent="0.25">
      <c r="A84" s="82"/>
      <c r="B84" s="239"/>
      <c r="G84" s="217"/>
      <c r="H84" s="217"/>
      <c r="I84" s="217"/>
      <c r="J84" s="217"/>
      <c r="K84" s="217"/>
      <c r="L84" s="217"/>
      <c r="M84" s="217"/>
      <c r="N84" s="217"/>
      <c r="O84" s="217"/>
      <c r="P84" s="217"/>
      <c r="Q84" s="217"/>
      <c r="R84" s="217"/>
      <c r="S84" s="217"/>
      <c r="T84" s="217"/>
    </row>
    <row r="85" spans="1:20" s="11" customFormat="1" x14ac:dyDescent="0.25">
      <c r="A85" s="82"/>
      <c r="B85" s="239"/>
      <c r="G85" s="217"/>
      <c r="H85" s="217"/>
      <c r="I85" s="217"/>
      <c r="J85" s="217"/>
      <c r="K85" s="217"/>
      <c r="L85" s="217"/>
      <c r="M85" s="217"/>
      <c r="N85" s="217"/>
      <c r="O85" s="217"/>
      <c r="P85" s="217"/>
      <c r="Q85" s="217"/>
      <c r="R85" s="217"/>
      <c r="S85" s="217"/>
      <c r="T85" s="217"/>
    </row>
    <row r="86" spans="1:20" ht="14.25" customHeight="1" x14ac:dyDescent="0.25">
      <c r="A86" s="82"/>
      <c r="B86" s="239"/>
      <c r="C86" s="2" t="s">
        <v>81</v>
      </c>
      <c r="D86" s="2" t="s">
        <v>82</v>
      </c>
      <c r="E86" s="11"/>
      <c r="F86" s="11"/>
      <c r="G86" s="217"/>
      <c r="H86" s="217"/>
      <c r="I86" s="217"/>
      <c r="J86" s="217"/>
      <c r="K86" s="217"/>
      <c r="L86" s="217"/>
      <c r="M86" s="217"/>
      <c r="N86" s="217"/>
      <c r="O86" s="217"/>
      <c r="P86" s="217"/>
      <c r="Q86" s="217"/>
      <c r="R86" s="217"/>
      <c r="S86" s="217"/>
      <c r="T86" s="217"/>
    </row>
    <row r="87" spans="1:20" x14ac:dyDescent="0.25">
      <c r="A87" t="s">
        <v>11</v>
      </c>
      <c r="C87" s="201">
        <f>Input!B14</f>
        <v>0</v>
      </c>
      <c r="D87" s="201">
        <f>Input!E14</f>
        <v>0</v>
      </c>
      <c r="E87" s="134">
        <f>VLOOKUP(A87, 'Metrics &amp; Drop Downs'!$F$41:$G$46, 2, FALSE)</f>
        <v>1</v>
      </c>
      <c r="F87" s="11"/>
      <c r="G87" s="217"/>
      <c r="H87" s="217"/>
      <c r="I87" s="217"/>
      <c r="J87" s="217"/>
      <c r="K87" s="217"/>
      <c r="L87" s="217"/>
      <c r="M87" s="217"/>
      <c r="N87" s="217"/>
      <c r="O87" s="217"/>
      <c r="P87" s="217"/>
      <c r="Q87" s="217"/>
      <c r="R87" s="217"/>
      <c r="S87" s="217"/>
      <c r="T87" s="217"/>
    </row>
    <row r="88" spans="1:20" x14ac:dyDescent="0.25">
      <c r="A88" t="s">
        <v>12</v>
      </c>
      <c r="C88" s="201">
        <f>Input!B15</f>
        <v>0</v>
      </c>
      <c r="D88" s="201">
        <f>Input!E15</f>
        <v>0</v>
      </c>
      <c r="E88" s="134">
        <f>VLOOKUP(A88, 'Metrics &amp; Drop Downs'!$F$41:$G$46, 2, FALSE)</f>
        <v>0.5</v>
      </c>
      <c r="G88" s="217"/>
      <c r="H88" s="217"/>
      <c r="I88" s="217"/>
      <c r="J88" s="217"/>
      <c r="K88" s="217"/>
      <c r="L88" s="217"/>
      <c r="M88" s="217"/>
      <c r="N88" s="217"/>
      <c r="O88" s="217"/>
      <c r="P88" s="217"/>
      <c r="Q88" s="217"/>
      <c r="R88" s="217"/>
      <c r="S88" s="217"/>
      <c r="T88" s="217"/>
    </row>
    <row r="89" spans="1:20" x14ac:dyDescent="0.25">
      <c r="A89" t="s">
        <v>13</v>
      </c>
      <c r="C89" s="201">
        <f>Input!B16</f>
        <v>0</v>
      </c>
      <c r="D89" s="201">
        <f>Input!E16</f>
        <v>0</v>
      </c>
      <c r="E89" s="134">
        <f>VLOOKUP(A89, 'Metrics &amp; Drop Downs'!$F$41:$G$46, 2, FALSE)</f>
        <v>0.5</v>
      </c>
      <c r="G89" s="217"/>
      <c r="H89" s="217"/>
      <c r="I89" s="217"/>
      <c r="J89" s="217"/>
      <c r="K89" s="217"/>
      <c r="L89" s="217"/>
      <c r="M89" s="217"/>
      <c r="N89" s="217"/>
      <c r="O89" s="217"/>
      <c r="P89" s="217"/>
      <c r="Q89" s="217"/>
      <c r="R89" s="217"/>
      <c r="S89" s="217"/>
      <c r="T89" s="217"/>
    </row>
    <row r="90" spans="1:20" x14ac:dyDescent="0.25">
      <c r="A90" t="s">
        <v>78</v>
      </c>
      <c r="C90" s="201">
        <f>Input!B17</f>
        <v>0</v>
      </c>
      <c r="D90" s="201">
        <f>Input!E17</f>
        <v>0</v>
      </c>
      <c r="E90" s="134">
        <f>VLOOKUP(A90, 'Metrics &amp; Drop Downs'!$F$41:$G$46, 2, FALSE)</f>
        <v>1</v>
      </c>
      <c r="G90" s="217"/>
      <c r="H90" s="217"/>
      <c r="I90" s="217"/>
      <c r="J90" s="217"/>
      <c r="K90" s="217"/>
      <c r="L90" s="217"/>
      <c r="M90" s="217"/>
      <c r="N90" s="217"/>
      <c r="O90" s="217"/>
      <c r="P90" s="217"/>
      <c r="Q90" s="217"/>
      <c r="R90" s="217"/>
      <c r="S90" s="217"/>
      <c r="T90" s="217"/>
    </row>
    <row r="91" spans="1:20" x14ac:dyDescent="0.25">
      <c r="A91" t="s">
        <v>79</v>
      </c>
      <c r="C91" s="201">
        <f>Input!B18</f>
        <v>0</v>
      </c>
      <c r="D91" s="201">
        <f>Input!E18</f>
        <v>0</v>
      </c>
      <c r="E91" s="134">
        <f>VLOOKUP(A91, 'Metrics &amp; Drop Downs'!$F$41:$G$46, 2, FALSE)</f>
        <v>0.5</v>
      </c>
      <c r="G91" s="217"/>
      <c r="H91" s="217"/>
      <c r="I91" s="217"/>
      <c r="J91" s="217"/>
      <c r="K91" s="217"/>
      <c r="L91" s="217"/>
      <c r="M91" s="217"/>
      <c r="N91" s="217"/>
      <c r="O91" s="217"/>
      <c r="P91" s="217"/>
      <c r="Q91" s="217"/>
      <c r="R91" s="217"/>
      <c r="S91" s="217"/>
      <c r="T91" s="217"/>
    </row>
    <row r="92" spans="1:20" x14ac:dyDescent="0.25">
      <c r="A92" t="s">
        <v>14</v>
      </c>
      <c r="C92" s="201">
        <f>C87*'Metrics &amp; Drop Downs'!$G41+C88*'Metrics &amp; Drop Downs'!$G42+C89*'Metrics &amp; Drop Downs'!$G43+C90*'Metrics &amp; Drop Downs'!$G45+C91*'Metrics &amp; Drop Downs'!$G46</f>
        <v>0</v>
      </c>
      <c r="D92" s="201">
        <f>D87*'Metrics &amp; Drop Downs'!$G41+D88*'Metrics &amp; Drop Downs'!$G42+D89*'Metrics &amp; Drop Downs'!$G43+D90*'Metrics &amp; Drop Downs'!$G45+D91*'Metrics &amp; Drop Downs'!$G46</f>
        <v>0</v>
      </c>
      <c r="E92" s="201">
        <f>SUM(C92:D92)</f>
        <v>0</v>
      </c>
      <c r="G92" s="217"/>
      <c r="H92" s="217"/>
      <c r="I92" s="217"/>
      <c r="J92" s="217"/>
      <c r="K92" s="217"/>
      <c r="L92" s="217"/>
      <c r="M92" s="217"/>
      <c r="N92" s="217"/>
      <c r="O92" s="217"/>
      <c r="P92" s="217"/>
      <c r="Q92" s="217"/>
      <c r="R92" s="217"/>
      <c r="S92" s="217"/>
      <c r="T92" s="217"/>
    </row>
    <row r="93" spans="1:20" x14ac:dyDescent="0.25">
      <c r="A93" s="82"/>
      <c r="B93" s="239"/>
      <c r="C93" s="11"/>
      <c r="D93" s="11"/>
      <c r="E93" s="11"/>
      <c r="G93" s="217"/>
      <c r="H93" s="217"/>
      <c r="I93" s="217"/>
      <c r="J93" s="217"/>
      <c r="K93" s="217"/>
      <c r="L93" s="217"/>
      <c r="M93" s="217"/>
      <c r="N93" s="217"/>
      <c r="O93" s="217"/>
      <c r="P93" s="217"/>
      <c r="Q93" s="217"/>
      <c r="R93" s="217"/>
      <c r="S93" s="217"/>
      <c r="T93" s="217"/>
    </row>
    <row r="94" spans="1:20" x14ac:dyDescent="0.25">
      <c r="A94" s="239" t="s">
        <v>296</v>
      </c>
      <c r="B94" s="239"/>
      <c r="C94" s="201">
        <f>Input!B22+Input!B26+Input!B30+Input!B34+Dependent_Children*IF(B11="Sole", 'Metrics &amp; Drop Downs'!G107, 'Metrics &amp; Drop Downs'!G108)</f>
        <v>0</v>
      </c>
      <c r="D94" s="11"/>
      <c r="E94" s="11"/>
      <c r="G94" s="217"/>
      <c r="H94" s="217"/>
      <c r="I94" s="217"/>
      <c r="J94" s="217"/>
      <c r="K94" s="217"/>
      <c r="L94" s="217"/>
      <c r="M94" s="217"/>
      <c r="N94" s="217"/>
      <c r="O94" s="217"/>
      <c r="P94" s="217"/>
      <c r="Q94" s="217"/>
      <c r="R94" s="217"/>
      <c r="S94" s="217"/>
      <c r="T94" s="217"/>
    </row>
    <row r="95" spans="1:20" x14ac:dyDescent="0.25">
      <c r="A95" s="82"/>
      <c r="B95" s="239"/>
      <c r="C95" s="11"/>
      <c r="D95" s="11"/>
      <c r="E95" s="11"/>
      <c r="G95" s="217"/>
      <c r="H95" s="217"/>
      <c r="I95" s="217"/>
      <c r="J95" s="217"/>
      <c r="K95" s="217"/>
      <c r="L95" s="217"/>
      <c r="M95" s="217"/>
      <c r="N95" s="217"/>
      <c r="O95" s="217"/>
      <c r="P95" s="217"/>
      <c r="Q95" s="217"/>
      <c r="R95" s="217"/>
      <c r="S95" s="217"/>
      <c r="T95" s="217"/>
    </row>
    <row r="96" spans="1:20" x14ac:dyDescent="0.25">
      <c r="A96" s="82" t="s">
        <v>19</v>
      </c>
      <c r="B96" s="239"/>
      <c r="C96" s="134" t="e">
        <f>Amount_Requested/Property_Value</f>
        <v>#DIV/0!</v>
      </c>
      <c r="D96" s="11"/>
      <c r="E96" s="11"/>
      <c r="G96" s="217"/>
      <c r="H96" s="217"/>
      <c r="I96" s="217"/>
      <c r="J96" s="217"/>
      <c r="K96" s="217"/>
      <c r="L96" s="217"/>
      <c r="M96" s="217"/>
      <c r="N96" s="217"/>
      <c r="O96" s="217"/>
      <c r="P96" s="217"/>
      <c r="Q96" s="217"/>
      <c r="R96" s="217"/>
      <c r="S96" s="217"/>
      <c r="T96" s="217"/>
    </row>
    <row r="97" spans="1:20" x14ac:dyDescent="0.25">
      <c r="A97" s="199" t="s">
        <v>264</v>
      </c>
      <c r="B97" s="239"/>
      <c r="C97" t="e">
        <f ca="1">MIN(Product_Term, Refer_Age-First_App_Age-1, Refer_Age-Second_App_Age-1)</f>
        <v>#N/A</v>
      </c>
      <c r="G97" s="217"/>
      <c r="H97" s="217"/>
      <c r="I97" s="217"/>
      <c r="J97" s="217"/>
      <c r="K97" s="217"/>
      <c r="L97" s="217"/>
      <c r="M97" s="217"/>
      <c r="N97" s="217"/>
      <c r="O97" s="217"/>
      <c r="P97" s="217"/>
      <c r="Q97" s="217"/>
      <c r="R97" s="217"/>
      <c r="S97" s="217"/>
      <c r="T97" s="217"/>
    </row>
    <row r="98" spans="1:20" s="155" customFormat="1" x14ac:dyDescent="0.25">
      <c r="A98" s="239" t="s">
        <v>328</v>
      </c>
      <c r="B98" s="239"/>
      <c r="C98" s="155" t="e">
        <f ca="1">MIN(Product_Term, 70-First_App_Age-1, 70-Second_App_Age-1)</f>
        <v>#VALUE!</v>
      </c>
      <c r="G98" s="217"/>
      <c r="H98" s="217"/>
      <c r="I98" s="217"/>
      <c r="J98" s="217"/>
      <c r="K98" s="217"/>
      <c r="L98" s="217"/>
      <c r="M98" s="217"/>
      <c r="N98" s="217"/>
      <c r="O98" s="217"/>
      <c r="P98" s="217"/>
      <c r="Q98" s="217"/>
      <c r="R98" s="217"/>
      <c r="S98" s="217"/>
      <c r="T98" s="217"/>
    </row>
    <row r="99" spans="1:20" x14ac:dyDescent="0.25">
      <c r="A99" s="199" t="s">
        <v>263</v>
      </c>
      <c r="B99" s="239"/>
      <c r="C99" s="11" t="e">
        <f ca="1">IF(Amount_Requested&gt;=Refer_Min, IF(Amount_Requested&lt;=Refer_Max, MIN(Max_Joint_Age-MAX(C72:C73)-1, Product_Term, MAX(Max_Age-1-First_App_Age, IF('AIP Indicator'!C17=0, Max_Age-1-First_App_Age, Max_Age-1-Second_App_Age)))),  MIN(Max_Joint_Age-MAX(C72:C73)-1, Product_Term, MAX(Refer_Age-1-First_App_Age, IF('AIP Indicator'!C17=0, Refer_Age-1-First_App_Age, Refer_Age-1-Second_App_Age))))</f>
        <v>#N/A</v>
      </c>
      <c r="D99" s="11"/>
      <c r="E99" s="11"/>
      <c r="G99" s="217"/>
      <c r="H99" s="217"/>
      <c r="I99" s="217"/>
      <c r="J99" s="217"/>
      <c r="K99" s="217"/>
      <c r="L99" s="217"/>
      <c r="M99" s="217"/>
      <c r="N99" s="217"/>
      <c r="O99" s="217"/>
      <c r="P99" s="217"/>
      <c r="Q99" s="217"/>
      <c r="R99" s="217"/>
      <c r="S99" s="217"/>
      <c r="T99" s="217"/>
    </row>
    <row r="100" spans="1:20" s="155" customFormat="1" x14ac:dyDescent="0.25">
      <c r="A100" s="155" t="s">
        <v>306</v>
      </c>
      <c r="C100" s="155" t="e">
        <f ca="1">MIN(Product_Term, IF('Metrics &amp; Drop Downs'!E41&gt;'Metrics &amp; Drop Downs'!C41, 'Metrics &amp; Drop Downs'!E41-'Metrics &amp; Drop Downs'!C41+Calculations!C97, 0))</f>
        <v>#N/A</v>
      </c>
      <c r="G100" s="217"/>
      <c r="H100" s="217"/>
      <c r="I100" s="217"/>
      <c r="J100" s="217"/>
      <c r="K100" s="217"/>
      <c r="L100" s="217"/>
      <c r="M100" s="217"/>
      <c r="N100" s="217"/>
      <c r="O100" s="217"/>
      <c r="P100" s="217"/>
      <c r="Q100" s="217"/>
      <c r="R100" s="217"/>
      <c r="S100" s="217"/>
      <c r="T100" s="217"/>
    </row>
    <row r="101" spans="1:20" x14ac:dyDescent="0.25">
      <c r="A101" s="199" t="s">
        <v>67</v>
      </c>
      <c r="B101" s="239"/>
      <c r="C101" t="e">
        <f ca="1">IF(AND(B26=B23,C26=C23, D26=D23),MAX(C97:C98),MAX(C98:C100))</f>
        <v>#VALUE!</v>
      </c>
      <c r="G101" s="217"/>
      <c r="H101" s="217"/>
      <c r="I101" s="217"/>
      <c r="J101" s="217"/>
      <c r="K101" s="217"/>
      <c r="L101" s="217"/>
      <c r="M101" s="217"/>
      <c r="N101" s="217"/>
      <c r="O101" s="217"/>
      <c r="P101" s="217"/>
      <c r="Q101" s="217"/>
      <c r="R101" s="217"/>
      <c r="S101" s="217"/>
      <c r="T101" s="217"/>
    </row>
    <row r="102" spans="1:20" x14ac:dyDescent="0.25">
      <c r="G102" s="217"/>
      <c r="H102" s="217"/>
      <c r="I102" s="217"/>
      <c r="J102" s="217"/>
      <c r="K102" s="217"/>
      <c r="L102" s="217"/>
      <c r="M102" s="217"/>
      <c r="N102" s="217"/>
      <c r="O102" s="217"/>
      <c r="P102" s="217"/>
      <c r="Q102" s="217"/>
      <c r="R102" s="217"/>
      <c r="S102" s="217"/>
      <c r="T102" s="217"/>
    </row>
    <row r="103" spans="1:20" s="155" customFormat="1" x14ac:dyDescent="0.25">
      <c r="G103" s="217"/>
      <c r="H103" s="217"/>
      <c r="I103" s="217"/>
      <c r="J103" s="217"/>
      <c r="K103" s="217"/>
      <c r="L103" s="217"/>
      <c r="M103" s="217"/>
      <c r="N103" s="217"/>
      <c r="O103" s="217"/>
      <c r="P103" s="217"/>
      <c r="Q103" s="217"/>
      <c r="R103" s="217"/>
      <c r="S103" s="217"/>
      <c r="T103" s="217"/>
    </row>
    <row r="104" spans="1:20" s="155" customFormat="1" x14ac:dyDescent="0.25">
      <c r="G104" s="217"/>
      <c r="H104" s="217"/>
      <c r="I104" s="217"/>
      <c r="J104" s="217"/>
      <c r="K104" s="217"/>
      <c r="L104" s="217"/>
      <c r="M104" s="217"/>
      <c r="N104" s="217"/>
      <c r="O104" s="217"/>
      <c r="P104" s="217"/>
      <c r="Q104" s="217"/>
      <c r="R104" s="217"/>
      <c r="S104" s="217"/>
      <c r="T104" s="217"/>
    </row>
    <row r="105" spans="1:20" s="155" customFormat="1" x14ac:dyDescent="0.25">
      <c r="G105" s="217"/>
      <c r="H105" s="217"/>
      <c r="I105" s="217"/>
      <c r="J105" s="217"/>
      <c r="K105" s="217"/>
      <c r="L105" s="217"/>
      <c r="M105" s="217"/>
      <c r="N105" s="217"/>
      <c r="O105" s="217"/>
      <c r="P105" s="217"/>
      <c r="Q105" s="217"/>
      <c r="R105" s="217"/>
      <c r="S105" s="217"/>
      <c r="T105" s="217"/>
    </row>
    <row r="106" spans="1:20" s="155" customFormat="1" x14ac:dyDescent="0.25">
      <c r="G106" s="217"/>
      <c r="H106" s="217"/>
      <c r="I106" s="217"/>
      <c r="J106" s="217"/>
      <c r="K106" s="217"/>
      <c r="L106" s="217"/>
      <c r="M106" s="217"/>
      <c r="N106" s="217"/>
      <c r="O106" s="217"/>
      <c r="P106" s="217"/>
      <c r="Q106" s="217"/>
      <c r="R106" s="217"/>
      <c r="S106" s="217"/>
      <c r="T106" s="217"/>
    </row>
    <row r="107" spans="1:20" s="155" customFormat="1" x14ac:dyDescent="0.25">
      <c r="G107" s="217"/>
      <c r="H107" s="217"/>
      <c r="I107" s="217"/>
      <c r="J107" s="217"/>
      <c r="K107" s="217"/>
      <c r="L107" s="217"/>
      <c r="M107" s="217"/>
      <c r="N107" s="217"/>
      <c r="O107" s="217"/>
      <c r="P107" s="217"/>
      <c r="Q107" s="217"/>
      <c r="R107" s="217"/>
      <c r="S107" s="217"/>
      <c r="T107" s="217"/>
    </row>
    <row r="108" spans="1:20" x14ac:dyDescent="0.25">
      <c r="G108" s="217"/>
      <c r="H108" s="217"/>
      <c r="I108" s="217"/>
      <c r="J108" s="217"/>
      <c r="K108" s="217"/>
      <c r="L108" s="217"/>
      <c r="M108" s="217"/>
      <c r="N108" s="217"/>
      <c r="O108" s="217"/>
      <c r="P108" s="217"/>
      <c r="Q108" s="217"/>
      <c r="R108" s="217"/>
      <c r="S108" s="217"/>
      <c r="T108" s="217"/>
    </row>
    <row r="109" spans="1:20" x14ac:dyDescent="0.25">
      <c r="A109" s="155" t="s">
        <v>273</v>
      </c>
      <c r="G109" s="217"/>
      <c r="H109" s="217"/>
      <c r="I109" s="217"/>
      <c r="J109" s="217"/>
      <c r="K109" s="217"/>
      <c r="L109" s="217"/>
      <c r="M109" s="217"/>
      <c r="N109" s="217"/>
      <c r="O109" s="217"/>
      <c r="P109" s="217"/>
      <c r="Q109" s="217"/>
      <c r="R109" s="217"/>
      <c r="S109" s="217"/>
      <c r="T109" s="217"/>
    </row>
    <row r="110" spans="1:20" x14ac:dyDescent="0.25">
      <c r="A110" s="155" t="s">
        <v>274</v>
      </c>
      <c r="C110" s="201">
        <f>((Property_Value -VLOOKUP(Property_Value, 'Metrics &amp; Drop Downs'!A92:C97, 1, TRUE))*VLOOKUP(Property_Value, 'Metrics &amp; Drop Downs'!A92:C97, 2, TRUE)+VLOOKUP(Property_Value, 'Metrics &amp; Drop Downs'!A92:C97, 3, TRUE))*'Metrics &amp; Drop Downs'!B99</f>
        <v>0</v>
      </c>
      <c r="G110" s="217"/>
      <c r="H110" s="217"/>
      <c r="I110" s="217"/>
      <c r="J110" s="217"/>
      <c r="K110" s="217"/>
      <c r="L110" s="217"/>
      <c r="M110" s="217"/>
      <c r="N110" s="217"/>
      <c r="O110" s="217"/>
      <c r="P110" s="217"/>
      <c r="Q110" s="217"/>
      <c r="R110" s="217"/>
      <c r="S110" s="217"/>
      <c r="T110" s="217"/>
    </row>
    <row r="111" spans="1:20" x14ac:dyDescent="0.25">
      <c r="A111" s="155" t="s">
        <v>268</v>
      </c>
      <c r="C111" s="201">
        <f>'Metrics &amp; Drop Downs'!B101*'AIP Indicator'!B32</f>
        <v>0</v>
      </c>
    </row>
    <row r="112" spans="1:20" x14ac:dyDescent="0.25">
      <c r="A112" s="155" t="s">
        <v>270</v>
      </c>
      <c r="C112" s="201">
        <f>IF(Calculations!B11="Sole", 'Metrics &amp; Drop Downs'!B103*Property_Value+'Metrics &amp; Drop Downs'!B104, 'Metrics &amp; Drop Downs'!B103*Property_Value+'Metrics &amp; Drop Downs'!B105)</f>
        <v>580</v>
      </c>
    </row>
    <row r="113" spans="1:3" x14ac:dyDescent="0.25">
      <c r="A113" s="155" t="s">
        <v>76</v>
      </c>
      <c r="C113" s="201">
        <f>SUM(C110:C112)</f>
        <v>580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13"/>
  <sheetViews>
    <sheetView workbookViewId="0">
      <selection activeCell="E10" sqref="E10"/>
    </sheetView>
  </sheetViews>
  <sheetFormatPr defaultRowHeight="15" x14ac:dyDescent="0.25"/>
  <cols>
    <col min="1" max="1" width="23.7109375" customWidth="1"/>
  </cols>
  <sheetData>
    <row r="2" spans="1:2" x14ac:dyDescent="0.25">
      <c r="A2" t="s">
        <v>229</v>
      </c>
      <c r="B2" t="str">
        <f ca="1">Calculations!A69</f>
        <v>Declined</v>
      </c>
    </row>
    <row r="4" spans="1:2" x14ac:dyDescent="0.25">
      <c r="A4" t="s">
        <v>57</v>
      </c>
      <c r="B4" s="136" t="e">
        <f ca="1">Max_AIP_Available</f>
        <v>#VALUE!</v>
      </c>
    </row>
    <row r="5" spans="1:2" x14ac:dyDescent="0.25">
      <c r="A5" t="s">
        <v>230</v>
      </c>
      <c r="B5" t="e">
        <f ca="1">Calculations!F30</f>
        <v>#VALUE!</v>
      </c>
    </row>
    <row r="7" spans="1:2" x14ac:dyDescent="0.25">
      <c r="A7" t="s">
        <v>231</v>
      </c>
      <c r="B7" t="e">
        <f>C_and_I</f>
        <v>#VALUE!</v>
      </c>
    </row>
    <row r="9" spans="1:2" s="155" customFormat="1" x14ac:dyDescent="0.25">
      <c r="A9" s="155" t="s">
        <v>67</v>
      </c>
      <c r="B9" s="155" t="e">
        <f ca="1">Max_Term</f>
        <v>#VALUE!</v>
      </c>
    </row>
    <row r="10" spans="1:2" s="155" customFormat="1" x14ac:dyDescent="0.25"/>
    <row r="11" spans="1:2" x14ac:dyDescent="0.25">
      <c r="A11" s="138" t="s">
        <v>105</v>
      </c>
      <c r="B11" t="str">
        <f>'Metrics &amp; Drop Downs'!G32</f>
        <v/>
      </c>
    </row>
    <row r="13" spans="1:2" x14ac:dyDescent="0.25">
      <c r="A13" s="155" t="s">
        <v>20</v>
      </c>
      <c r="B13" t="str">
        <f>'AIP Indicator'!B29</f>
        <v>Purchase</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G36"/>
  <sheetViews>
    <sheetView showGridLines="0" workbookViewId="0">
      <selection activeCell="B11" sqref="B11"/>
    </sheetView>
  </sheetViews>
  <sheetFormatPr defaultColWidth="9.28515625" defaultRowHeight="15" x14ac:dyDescent="0.25"/>
  <cols>
    <col min="1" max="1" width="28.7109375" style="28" customWidth="1"/>
    <col min="2" max="2" width="13.42578125" style="28" customWidth="1"/>
    <col min="3" max="5" width="9.28515625" style="28"/>
    <col min="6" max="6" width="16" style="28" customWidth="1"/>
    <col min="7" max="16384" width="9.28515625" style="28"/>
  </cols>
  <sheetData>
    <row r="1" spans="1:3" ht="21" x14ac:dyDescent="0.35">
      <c r="A1" s="48" t="s">
        <v>107</v>
      </c>
    </row>
    <row r="3" spans="1:3" x14ac:dyDescent="0.25">
      <c r="A3" s="52" t="s">
        <v>90</v>
      </c>
      <c r="B3" s="121"/>
    </row>
    <row r="4" spans="1:3" x14ac:dyDescent="0.25">
      <c r="A4" s="53" t="s">
        <v>91</v>
      </c>
      <c r="B4" s="121"/>
    </row>
    <row r="5" spans="1:3" x14ac:dyDescent="0.25">
      <c r="A5" s="54" t="s">
        <v>92</v>
      </c>
      <c r="B5" s="62">
        <f>B3-B4</f>
        <v>0</v>
      </c>
    </row>
    <row r="6" spans="1:3" x14ac:dyDescent="0.25">
      <c r="A6" s="53" t="s">
        <v>83</v>
      </c>
      <c r="B6" s="62">
        <f>'AIP Indicator'!D25</f>
        <v>0</v>
      </c>
    </row>
    <row r="7" spans="1:3" x14ac:dyDescent="0.25">
      <c r="A7" s="53" t="s">
        <v>87</v>
      </c>
      <c r="B7" s="121"/>
    </row>
    <row r="8" spans="1:3" x14ac:dyDescent="0.25">
      <c r="A8" s="53" t="s">
        <v>93</v>
      </c>
      <c r="B8" s="62">
        <f>B3*1.5%</f>
        <v>0</v>
      </c>
    </row>
    <row r="9" spans="1:3" x14ac:dyDescent="0.25">
      <c r="A9" s="53" t="s">
        <v>94</v>
      </c>
      <c r="B9" s="62">
        <f>B5-(B6+B7+B8)</f>
        <v>0</v>
      </c>
    </row>
    <row r="10" spans="1:3" x14ac:dyDescent="0.25">
      <c r="A10" s="53" t="s">
        <v>95</v>
      </c>
      <c r="B10" s="121"/>
    </row>
    <row r="11" spans="1:3" x14ac:dyDescent="0.25">
      <c r="A11" s="53" t="s">
        <v>96</v>
      </c>
      <c r="B11" s="121"/>
    </row>
    <row r="12" spans="1:3" x14ac:dyDescent="0.25">
      <c r="A12" s="53" t="s">
        <v>97</v>
      </c>
      <c r="B12" s="66">
        <f>B9+B10+B11</f>
        <v>0</v>
      </c>
      <c r="C12"/>
    </row>
    <row r="13" spans="1:3" x14ac:dyDescent="0.25">
      <c r="A13" s="55" t="s">
        <v>84</v>
      </c>
      <c r="B13" s="66">
        <f>B20</f>
        <v>0</v>
      </c>
    </row>
    <row r="14" spans="1:3" x14ac:dyDescent="0.25">
      <c r="A14" s="56"/>
      <c r="B14" s="63"/>
    </row>
    <row r="15" spans="1:3" x14ac:dyDescent="0.25">
      <c r="A15" s="57" t="s">
        <v>89</v>
      </c>
      <c r="B15" s="62">
        <f>Property_Value</f>
        <v>0</v>
      </c>
    </row>
    <row r="16" spans="1:3" x14ac:dyDescent="0.25">
      <c r="A16" s="58" t="s">
        <v>85</v>
      </c>
      <c r="B16" s="64">
        <f>B15-B17</f>
        <v>0</v>
      </c>
    </row>
    <row r="17" spans="1:4" x14ac:dyDescent="0.25">
      <c r="A17" s="58" t="s">
        <v>86</v>
      </c>
      <c r="B17" s="62">
        <f>Amount_Requested</f>
        <v>0</v>
      </c>
    </row>
    <row r="18" spans="1:4" x14ac:dyDescent="0.25">
      <c r="A18" s="60" t="s">
        <v>262</v>
      </c>
      <c r="B18" s="65">
        <f>MAX('AIP Indicator'!D43:D48)</f>
        <v>0</v>
      </c>
    </row>
    <row r="19" spans="1:4" x14ac:dyDescent="0.25">
      <c r="A19" s="59" t="str">
        <f>IF(Island="Guernsey", "Guernsey Legals", "")</f>
        <v/>
      </c>
      <c r="B19" s="62">
        <f>IF(Island="Guernsey", Calculations!C113, 0)</f>
        <v>0</v>
      </c>
      <c r="C19" t="str">
        <f>CONCATENATE(" assuming ", 'Metrics &amp; Drop Downs'!B99*100, "% realty")</f>
        <v xml:space="preserve"> assuming 97.5% realty</v>
      </c>
      <c r="D19" s="209"/>
    </row>
    <row r="20" spans="1:4" x14ac:dyDescent="0.25">
      <c r="A20" s="61" t="s">
        <v>98</v>
      </c>
      <c r="B20" s="66">
        <f>B16+B19+B18</f>
        <v>0</v>
      </c>
    </row>
    <row r="22" spans="1:4" x14ac:dyDescent="0.25">
      <c r="A22" s="3" t="s">
        <v>88</v>
      </c>
    </row>
    <row r="23" spans="1:4" x14ac:dyDescent="0.25">
      <c r="A23"/>
    </row>
    <row r="24" spans="1:4" x14ac:dyDescent="0.25">
      <c r="A24"/>
    </row>
    <row r="25" spans="1:4" x14ac:dyDescent="0.25">
      <c r="A25"/>
    </row>
    <row r="26" spans="1:4" x14ac:dyDescent="0.25">
      <c r="A26"/>
    </row>
    <row r="36" spans="1:7" ht="138.75" customHeight="1" x14ac:dyDescent="0.25">
      <c r="A36" s="436" t="s">
        <v>303</v>
      </c>
      <c r="B36" s="436"/>
      <c r="C36" s="436"/>
      <c r="D36" s="436"/>
      <c r="E36" s="436"/>
      <c r="F36" s="436"/>
      <c r="G36" s="436"/>
    </row>
  </sheetData>
  <sheetProtection algorithmName="SHA-512" hashValue="wzA6zJ5LTw229meKAZ4gDGfWS9hvHaxhI9r9VFbxFCCaIcVQBL1wMFGc5afyVDtGZnStneffIbJG6wTINNL7EQ==" saltValue="QoyqrBzsgEbnpxdPQLtVyw==" spinCount="100000" sheet="1" selectLockedCells="1"/>
  <mergeCells count="1">
    <mergeCell ref="A36:G36"/>
  </mergeCells>
  <conditionalFormatting sqref="B12">
    <cfRule type="cellIs" dxfId="1" priority="1" operator="lessThan">
      <formula>$B$13</formula>
    </cfRule>
    <cfRule type="cellIs" dxfId="0" priority="2" operator="greaterThan">
      <formula>$B$13</formula>
    </cfRule>
  </conditionalFormatting>
  <printOptions horizontalCentered="1" vertic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9:E27"/>
  <sheetViews>
    <sheetView showGridLines="0" workbookViewId="0"/>
  </sheetViews>
  <sheetFormatPr defaultRowHeight="15" x14ac:dyDescent="0.25"/>
  <cols>
    <col min="1" max="1" width="149.42578125" customWidth="1"/>
  </cols>
  <sheetData>
    <row r="9" spans="1:1" ht="21.75" customHeight="1" x14ac:dyDescent="0.25"/>
    <row r="10" spans="1:1" ht="46.5" x14ac:dyDescent="0.7">
      <c r="A10" s="97" t="s">
        <v>150</v>
      </c>
    </row>
    <row r="11" spans="1:1" ht="26.25" customHeight="1" x14ac:dyDescent="0.25">
      <c r="A11" s="89"/>
    </row>
    <row r="12" spans="1:1" x14ac:dyDescent="0.25">
      <c r="A12" s="89" t="s">
        <v>149</v>
      </c>
    </row>
    <row r="13" spans="1:1" ht="7.5" customHeight="1" x14ac:dyDescent="0.25">
      <c r="A13" s="89"/>
    </row>
    <row r="14" spans="1:1" ht="31.5" x14ac:dyDescent="0.5">
      <c r="A14" s="98" t="str">
        <f ca="1">IF(OR('AIP Indicator'!B37="Declined",'AIP Indicator'!B37="Refer"),"****INPUT REQUIRED****",IF('AIP Indicator'!B37="AIP",CONCATENATE("£", Amount_Requested," at ",ROUND(LTV*100, 0),"% Loan To Value"), ""))</f>
        <v>****INPUT REQUIRED****</v>
      </c>
    </row>
    <row r="15" spans="1:1" ht="7.5" customHeight="1" x14ac:dyDescent="0.25">
      <c r="A15" s="90"/>
    </row>
    <row r="16" spans="1:1" x14ac:dyDescent="0.25">
      <c r="A16" s="90" t="s">
        <v>148</v>
      </c>
    </row>
    <row r="17" spans="1:5" ht="7.5" customHeight="1" x14ac:dyDescent="0.25">
      <c r="A17" s="93"/>
    </row>
    <row r="18" spans="1:5" ht="26.25" x14ac:dyDescent="0.4">
      <c r="A18" s="91" t="str">
        <f>IF('AIP Indicator'!E8="", CONCATENATE('AIP Indicator'!B7, " ", 'AIP Indicator'!C7, " ", 'AIP Indicator'!E7), CONCATENATE('AIP Indicator'!B7, " ", 'AIP Indicator'!C7, " ", 'AIP Indicator'!E7, " and ", 'AIP Indicator'!B8, " ", 'AIP Indicator'!C8, " ", 'AIP Indicator'!E8))</f>
        <v xml:space="preserve">  </v>
      </c>
    </row>
    <row r="19" spans="1:5" ht="7.5" customHeight="1" x14ac:dyDescent="0.3">
      <c r="A19" s="92"/>
    </row>
    <row r="20" spans="1:5" ht="15" customHeight="1" x14ac:dyDescent="0.25">
      <c r="A20" s="90" t="s">
        <v>151</v>
      </c>
    </row>
    <row r="21" spans="1:5" ht="7.5" customHeight="1" x14ac:dyDescent="0.25">
      <c r="A21" s="90"/>
    </row>
    <row r="22" spans="1:5" ht="18.75" x14ac:dyDescent="0.3">
      <c r="A22" s="94">
        <f ca="1">TODAY()+90</f>
        <v>45064</v>
      </c>
    </row>
    <row r="23" spans="1:5" ht="105" customHeight="1" x14ac:dyDescent="0.25">
      <c r="A23" s="96" t="s">
        <v>152</v>
      </c>
      <c r="B23" s="88"/>
      <c r="C23" s="88"/>
      <c r="D23" s="88"/>
      <c r="E23" s="88"/>
    </row>
    <row r="27" spans="1:5" ht="15.75" x14ac:dyDescent="0.25">
      <c r="A27" s="95"/>
    </row>
  </sheetData>
  <sheetProtection password="C368" sheet="1" objects="1" scenarios="1" selectLockedCells="1"/>
  <printOptions horizontalCentered="1" verticalCentered="1"/>
  <pageMargins left="0.19685039370078741" right="0.19685039370078741" top="0.19685039370078741" bottom="0.19685039370078741" header="0.31496062992125984" footer="0.31496062992125984"/>
  <pageSetup paperSize="9" scale="9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64</vt:i4>
      </vt:variant>
    </vt:vector>
  </HeadingPairs>
  <TitlesOfParts>
    <vt:vector size="71" baseType="lpstr">
      <vt:lpstr>AIP Indicator</vt:lpstr>
      <vt:lpstr>Input</vt:lpstr>
      <vt:lpstr>Metrics &amp; Drop Downs</vt:lpstr>
      <vt:lpstr>Calculations</vt:lpstr>
      <vt:lpstr>Output</vt:lpstr>
      <vt:lpstr>Fee Indicator (optional)</vt:lpstr>
      <vt:lpstr>Mortgage Certificate</vt:lpstr>
      <vt:lpstr>Amount_Requested</vt:lpstr>
      <vt:lpstr>Available_Products</vt:lpstr>
      <vt:lpstr>BTL_Affordability</vt:lpstr>
      <vt:lpstr>BTL_Affordability_Indicator</vt:lpstr>
      <vt:lpstr>BTL_Min_Income</vt:lpstr>
      <vt:lpstr>Buy_to_Let</vt:lpstr>
      <vt:lpstr>C_and_I</vt:lpstr>
      <vt:lpstr>Dependent_Children</vt:lpstr>
      <vt:lpstr>Deposit</vt:lpstr>
      <vt:lpstr>Direct</vt:lpstr>
      <vt:lpstr>DoB_App_1</vt:lpstr>
      <vt:lpstr>DoB_App_2</vt:lpstr>
      <vt:lpstr>Employment_Status</vt:lpstr>
      <vt:lpstr>Extra_Rent_Affordability</vt:lpstr>
      <vt:lpstr>First_App_Age</vt:lpstr>
      <vt:lpstr>Follow_On_Rate</vt:lpstr>
      <vt:lpstr>General_Max_Loan</vt:lpstr>
      <vt:lpstr>GHA_Min_Valuation</vt:lpstr>
      <vt:lpstr>Gsy_Min_Valuation</vt:lpstr>
      <vt:lpstr>Guernsey_Pension</vt:lpstr>
      <vt:lpstr>Income</vt:lpstr>
      <vt:lpstr>Interest_Only</vt:lpstr>
      <vt:lpstr>Island</vt:lpstr>
      <vt:lpstr>Island_Names</vt:lpstr>
      <vt:lpstr>Jersey_Pension</vt:lpstr>
      <vt:lpstr>Jsy_Min_Valuation</vt:lpstr>
      <vt:lpstr>LTV</vt:lpstr>
      <vt:lpstr>LTV_Affordability</vt:lpstr>
      <vt:lpstr>Max_Age</vt:lpstr>
      <vt:lpstr>Max_AIP_Available</vt:lpstr>
      <vt:lpstr>Max_Joint_Age</vt:lpstr>
      <vt:lpstr>Max_Monthly</vt:lpstr>
      <vt:lpstr>Max_Retirement_Monthly</vt:lpstr>
      <vt:lpstr>Max_Term</vt:lpstr>
      <vt:lpstr>Min_Age</vt:lpstr>
      <vt:lpstr>Mortgage_Type</vt:lpstr>
      <vt:lpstr>Next_Generation_Max</vt:lpstr>
      <vt:lpstr>Next_Generation_Max_Loan</vt:lpstr>
      <vt:lpstr>Outgoings</vt:lpstr>
      <vt:lpstr>Overall_Max_LTV</vt:lpstr>
      <vt:lpstr>'AIP Indicator'!Print_Area</vt:lpstr>
      <vt:lpstr>'Mortgage Certificate'!Print_Area</vt:lpstr>
      <vt:lpstr>Product_Term</vt:lpstr>
      <vt:lpstr>Product_Type</vt:lpstr>
      <vt:lpstr>Property_Value</vt:lpstr>
      <vt:lpstr>Refer_Affordability_Perc</vt:lpstr>
      <vt:lpstr>Refer_Age</vt:lpstr>
      <vt:lpstr>Refer_Age_Self_Employed</vt:lpstr>
      <vt:lpstr>Refer_LTV_Perc</vt:lpstr>
      <vt:lpstr>Refer_Max</vt:lpstr>
      <vt:lpstr>Refer_Min</vt:lpstr>
      <vt:lpstr>Refer_Retirement_Monthly</vt:lpstr>
      <vt:lpstr>Remortgage_Purchase</vt:lpstr>
      <vt:lpstr>Rent_mth</vt:lpstr>
      <vt:lpstr>Requested_Term</vt:lpstr>
      <vt:lpstr>SE_App_1</vt:lpstr>
      <vt:lpstr>SE_App_2</vt:lpstr>
      <vt:lpstr>Second_App_Age</vt:lpstr>
      <vt:lpstr>Selected_Product</vt:lpstr>
      <vt:lpstr>Stress_C_and_I</vt:lpstr>
      <vt:lpstr>Stress_Rate</vt:lpstr>
      <vt:lpstr>Title</vt:lpstr>
      <vt:lpstr>Wage_Inflation</vt:lpstr>
      <vt:lpstr>Yes_No_Switch</vt:lpstr>
    </vt:vector>
  </TitlesOfParts>
  <Company>Skipton Building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55444</dc:creator>
  <cp:lastModifiedBy>Declan Maginnis</cp:lastModifiedBy>
  <cp:lastPrinted>2022-08-30T10:13:48Z</cp:lastPrinted>
  <dcterms:created xsi:type="dcterms:W3CDTF">2011-05-31T15:38:09Z</dcterms:created>
  <dcterms:modified xsi:type="dcterms:W3CDTF">2023-02-17T15:54:41Z</dcterms:modified>
</cp:coreProperties>
</file>